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S PC\Documents\AB Folder\YEAR 2022\"/>
    </mc:Choice>
  </mc:AlternateContent>
  <bookViews>
    <workbookView xWindow="0" yWindow="0" windowWidth="20490" windowHeight="7650"/>
  </bookViews>
  <sheets>
    <sheet name="Sources and Uses of Funds" sheetId="4" r:id="rId1"/>
    <sheet name="uses of fund by component" sheetId="8" r:id="rId2"/>
    <sheet name="Committed Fund by component" sheetId="10" r:id="rId3"/>
    <sheet name="NOTES" sheetId="16" r:id="rId4"/>
    <sheet name="EEP" sheetId="12" r:id="rId5"/>
    <sheet name="DISBURSEMENT " sheetId="18" r:id="rId6"/>
  </sheets>
  <calcPr calcId="162913"/>
</workbook>
</file>

<file path=xl/calcChain.xml><?xml version="1.0" encoding="utf-8"?>
<calcChain xmlns="http://schemas.openxmlformats.org/spreadsheetml/2006/main">
  <c r="D14" i="16" l="1"/>
  <c r="D10" i="16"/>
  <c r="D25" i="16" l="1"/>
  <c r="C73" i="8"/>
  <c r="D27" i="4" l="1"/>
  <c r="D33" i="16" l="1"/>
  <c r="D36" i="16"/>
  <c r="D23" i="16"/>
  <c r="D27" i="16"/>
  <c r="D12" i="16"/>
  <c r="D39" i="16"/>
  <c r="E35" i="4"/>
  <c r="D30" i="16" l="1"/>
  <c r="D24" i="10"/>
  <c r="D26" i="10"/>
  <c r="D22" i="10"/>
  <c r="D29" i="10"/>
  <c r="C29" i="10"/>
  <c r="C22" i="10"/>
  <c r="C26" i="10" s="1"/>
  <c r="C24" i="10"/>
  <c r="D19" i="16"/>
  <c r="C77" i="8"/>
  <c r="F11" i="12" l="1"/>
  <c r="D11" i="12"/>
  <c r="D12" i="12"/>
  <c r="D13" i="12"/>
  <c r="D14" i="12"/>
  <c r="D15" i="12"/>
  <c r="D16" i="12"/>
  <c r="F16" i="12" l="1"/>
  <c r="F15" i="12"/>
  <c r="F14" i="12"/>
  <c r="F13" i="12"/>
  <c r="F12" i="12"/>
  <c r="D10" i="12"/>
  <c r="F10" i="12" s="1"/>
  <c r="D9" i="12"/>
  <c r="F9" i="12" s="1"/>
  <c r="D8" i="12"/>
  <c r="F8" i="12" s="1"/>
  <c r="D7" i="12"/>
  <c r="F7" i="12" s="1"/>
  <c r="D6" i="12"/>
  <c r="F6" i="12" s="1"/>
  <c r="D5" i="12"/>
  <c r="F5" i="12" s="1"/>
  <c r="D6" i="16" l="1"/>
  <c r="D41" i="16" l="1"/>
  <c r="D23" i="4" l="1"/>
  <c r="D32" i="10" l="1"/>
  <c r="E53" i="4" s="1"/>
  <c r="F53" i="4" s="1"/>
  <c r="C32" i="10"/>
  <c r="D53" i="4" s="1"/>
  <c r="H32" i="10"/>
  <c r="G32" i="10"/>
  <c r="F32" i="10"/>
  <c r="E32" i="10"/>
  <c r="C82" i="8" l="1"/>
  <c r="D39" i="4" s="1"/>
  <c r="E39" i="4" s="1"/>
  <c r="D38" i="4" l="1"/>
  <c r="C30" i="8"/>
  <c r="E27" i="4"/>
  <c r="F27" i="4" s="1"/>
  <c r="F39" i="4"/>
  <c r="E38" i="4" l="1"/>
  <c r="F38" i="4" s="1"/>
  <c r="D33" i="4"/>
  <c r="C44" i="8"/>
  <c r="D35" i="4" s="1"/>
  <c r="F35" i="4" s="1"/>
  <c r="E12" i="16"/>
  <c r="C59" i="8"/>
  <c r="D37" i="4" s="1"/>
  <c r="C37" i="8"/>
  <c r="D34" i="4" s="1"/>
  <c r="E34" i="4" l="1"/>
  <c r="F34" i="4" s="1"/>
  <c r="E33" i="4"/>
  <c r="F33" i="4" s="1"/>
  <c r="E37" i="4"/>
  <c r="F37" i="4" s="1"/>
  <c r="C51" i="8"/>
  <c r="C93" i="8" s="1"/>
  <c r="D36" i="4" l="1"/>
  <c r="D73" i="8"/>
  <c r="E73" i="8"/>
  <c r="D37" i="8"/>
  <c r="E37" i="8"/>
  <c r="F23" i="4"/>
  <c r="E23" i="4"/>
  <c r="E29" i="4" s="1"/>
  <c r="F29" i="4"/>
  <c r="B3" i="18" s="1"/>
  <c r="C3" i="18" s="1"/>
  <c r="D51" i="8"/>
  <c r="B17" i="12"/>
  <c r="D44" i="10"/>
  <c r="C44" i="10"/>
  <c r="E42" i="10"/>
  <c r="E41" i="10"/>
  <c r="G26" i="10"/>
  <c r="F26" i="10"/>
  <c r="C49" i="10"/>
  <c r="H26" i="10"/>
  <c r="E26" i="10"/>
  <c r="D30" i="8"/>
  <c r="D44" i="8"/>
  <c r="D59" i="8"/>
  <c r="D82" i="8"/>
  <c r="E51" i="8"/>
  <c r="E46" i="4"/>
  <c r="E44" i="4"/>
  <c r="E59" i="8"/>
  <c r="E85" i="8"/>
  <c r="E86" i="8"/>
  <c r="D29" i="4"/>
  <c r="E44" i="8"/>
  <c r="E82" i="8"/>
  <c r="D88" i="8"/>
  <c r="C88" i="8"/>
  <c r="E30" i="8"/>
  <c r="E36" i="4" l="1"/>
  <c r="F36" i="4" s="1"/>
  <c r="F41" i="4" s="1"/>
  <c r="B4" i="18" s="1"/>
  <c r="C4" i="18" s="1"/>
  <c r="E52" i="4"/>
  <c r="E56" i="4" s="1"/>
  <c r="D49" i="10"/>
  <c r="E44" i="10"/>
  <c r="E88" i="8"/>
  <c r="D17" i="12"/>
  <c r="F17" i="12"/>
  <c r="D93" i="8"/>
  <c r="D52" i="4"/>
  <c r="D56" i="4" s="1"/>
  <c r="F52" i="4" l="1"/>
  <c r="F56" i="4" s="1"/>
  <c r="E49" i="10"/>
  <c r="E41" i="4"/>
  <c r="E42" i="4" s="1"/>
  <c r="D43" i="16"/>
  <c r="D41" i="4"/>
  <c r="D45" i="4" s="1"/>
  <c r="D42" i="4" l="1"/>
  <c r="D57" i="4" s="1"/>
  <c r="D47" i="4"/>
  <c r="D58" i="4" s="1"/>
  <c r="F45" i="4" l="1"/>
  <c r="F47" i="4" s="1"/>
  <c r="F42" i="4"/>
  <c r="E45" i="4"/>
  <c r="F57" i="4" l="1"/>
  <c r="E47" i="4"/>
  <c r="E58" i="4" s="1"/>
  <c r="F58" i="4"/>
  <c r="E57" i="4"/>
</calcChain>
</file>

<file path=xl/sharedStrings.xml><?xml version="1.0" encoding="utf-8"?>
<sst xmlns="http://schemas.openxmlformats.org/spreadsheetml/2006/main" count="180" uniqueCount="142">
  <si>
    <t>Total</t>
  </si>
  <si>
    <t>Expenditure</t>
  </si>
  <si>
    <t>Sources of Fund</t>
  </si>
  <si>
    <t>Add Receipts</t>
  </si>
  <si>
    <t>Total Financing</t>
  </si>
  <si>
    <t>Total Closing Cash Balance</t>
  </si>
  <si>
    <t>Actual</t>
  </si>
  <si>
    <t>Planned</t>
  </si>
  <si>
    <t>Variance</t>
  </si>
  <si>
    <t>Others</t>
  </si>
  <si>
    <t>Project</t>
  </si>
  <si>
    <t>Revised</t>
  </si>
  <si>
    <t>PAD</t>
  </si>
  <si>
    <t>Closing Balances</t>
  </si>
  <si>
    <t>Total Uses of Funds by Components</t>
  </si>
  <si>
    <t>Sub Total</t>
  </si>
  <si>
    <t>Explanation of</t>
  </si>
  <si>
    <t xml:space="preserve">PAD /Life of </t>
  </si>
  <si>
    <t>Financial Year End</t>
  </si>
  <si>
    <t>Cummulative for</t>
  </si>
  <si>
    <t xml:space="preserve">Cummulative for  </t>
  </si>
  <si>
    <t>Statement of Sources and Uses of Funds</t>
  </si>
  <si>
    <t>AFRICA HIGHER EDUCATION CENTERS OF EXCELLENCE PROJECT (126974)</t>
  </si>
  <si>
    <t>World Bank IDA Funds</t>
  </si>
  <si>
    <t>Uses of Funds (Breakdown)</t>
  </si>
  <si>
    <t>AFRICA HIGHER EDUCATION CENTERS OF EXCELLENCE PROJECT</t>
  </si>
  <si>
    <t xml:space="preserve">Grand Total Uses of Funds </t>
  </si>
  <si>
    <t xml:space="preserve">Less:  ACE Expenditure </t>
  </si>
  <si>
    <t>Government Funds</t>
  </si>
  <si>
    <t>(USD)</t>
  </si>
  <si>
    <t>Contingency</t>
  </si>
  <si>
    <t>USD</t>
  </si>
  <si>
    <t>1.0 REGIONAL CAPACITY TRAINING</t>
  </si>
  <si>
    <t>2.0 LEARNING AND TEACHING ENVIRONMENT</t>
  </si>
  <si>
    <t>4.0 ACADEMIC PARTNERSHIP</t>
  </si>
  <si>
    <t>7.0 CENTRE VISIBILITY</t>
  </si>
  <si>
    <t>TOTAL</t>
  </si>
  <si>
    <t>Withdrawal Date ------------------ Reimbursement</t>
  </si>
  <si>
    <t>Eligible Expenditure Program (reimbursement)          Salaries… ….</t>
  </si>
  <si>
    <t>IN GHS</t>
  </si>
  <si>
    <t>IN USD</t>
  </si>
  <si>
    <t>IN SDR</t>
  </si>
  <si>
    <t>GHS (Equiv.)</t>
  </si>
  <si>
    <t>Official Monthly average exchange rate (GHS to USD)</t>
  </si>
  <si>
    <t>IMF Exchange rate monthly average USD to SDR</t>
  </si>
  <si>
    <t>SDR</t>
  </si>
  <si>
    <t>Note</t>
  </si>
  <si>
    <t>Total Expenditure +  IDA Share(GHS) =IDA Cumm (GHS)</t>
  </si>
  <si>
    <t>EEP is defined as the salaries for the academic, technical and administrative personnel for the Faculties supporting the ACE plus up to 25% of the salaries for the university’s general administration</t>
  </si>
  <si>
    <t>Total Funds committed</t>
  </si>
  <si>
    <t>Committed Funds</t>
  </si>
  <si>
    <t>NB:</t>
  </si>
  <si>
    <t>* TOTAL USES OF FUNDS( Funds used + committed funds)</t>
  </si>
  <si>
    <t xml:space="preserve">SCHOLARSHIP </t>
  </si>
  <si>
    <t>Annex to IFR: Notes on Expenditures</t>
  </si>
  <si>
    <t>Consultant  and Travel Costs</t>
  </si>
  <si>
    <t>Consultant Costs, including project implementation and administration staff</t>
  </si>
  <si>
    <t>Travel, Accommodation,  and Per Diem</t>
  </si>
  <si>
    <t>Travel and Accomodation</t>
  </si>
  <si>
    <t xml:space="preserve">Per Diem </t>
  </si>
  <si>
    <t>i.</t>
  </si>
  <si>
    <t>International travel</t>
  </si>
  <si>
    <t>ii.</t>
  </si>
  <si>
    <t>Domestic travel</t>
  </si>
  <si>
    <t>Total (Travel, Accommodation, and Per Diem)</t>
  </si>
  <si>
    <t>Training and conference fees</t>
  </si>
  <si>
    <t>Goods and equipment</t>
  </si>
  <si>
    <t xml:space="preserve">Learning and Research Equipment </t>
  </si>
  <si>
    <t>Vehicles</t>
  </si>
  <si>
    <t>Other goods incl. reagents</t>
  </si>
  <si>
    <t>Total Goods and Equipment</t>
  </si>
  <si>
    <t>Scholarship Payments</t>
  </si>
  <si>
    <t>ACE Hosted Workshops and Seminars</t>
  </si>
  <si>
    <t>Workshops and Seminars</t>
  </si>
  <si>
    <t>Civil Works</t>
  </si>
  <si>
    <t>Civil works, including rehabilitation and new construction</t>
  </si>
  <si>
    <t>Marketing, Communication, and Recruitment</t>
  </si>
  <si>
    <t>Communication and Marketing, including website</t>
  </si>
  <si>
    <t>General Expenses</t>
  </si>
  <si>
    <t>Operating costs including utilities, banking fees etc.</t>
  </si>
  <si>
    <t xml:space="preserve">Other </t>
  </si>
  <si>
    <t>GRAND TOTAL</t>
  </si>
  <si>
    <t>Learning and Teaching Environment</t>
  </si>
  <si>
    <t>Regional Research Capacity Building</t>
  </si>
  <si>
    <t>Academic Partnership</t>
  </si>
  <si>
    <t>Industrial Partnership</t>
  </si>
  <si>
    <t>Governace and Administration</t>
  </si>
  <si>
    <t>Centre Visibility</t>
  </si>
  <si>
    <t>Regional Capacity Training</t>
  </si>
  <si>
    <t>REGIONAL CAPACITY TRAINING</t>
  </si>
  <si>
    <t>COMMITTED FUNDS HERE REFERS TO CONTRACTS OR SCHORLARSHIPS SIGNED AND AWAITING COMPLETION OF THE AGREED MILESTONES/TARGETS BEFORE PAYMENTS.</t>
  </si>
  <si>
    <t>5 INDUSTRAIL PARTNERSHIP</t>
  </si>
  <si>
    <t>Desription</t>
  </si>
  <si>
    <t>Amount (USD)</t>
  </si>
  <si>
    <t>% of Award (USD)</t>
  </si>
  <si>
    <t>Grant Budget (Award)</t>
  </si>
  <si>
    <t xml:space="preserve">Cumulative Disbursement </t>
  </si>
  <si>
    <t xml:space="preserve">Cumulative Expenditure </t>
  </si>
  <si>
    <t>Financial Year End (1st Jan.- 31st December. 2021)</t>
  </si>
  <si>
    <t>1.1 ACCREDITATION/GAP ASSESSMENT EXPENSES</t>
  </si>
  <si>
    <t>1.5. NON-TAXABLE RESEARCH SUPPORT EXPENSES</t>
  </si>
  <si>
    <t>2.1 CONSTRUCTION OF  IMPROVED KNUST VENTILATOR</t>
  </si>
  <si>
    <t>4.1 STUDENT INTERNSHIPS EXPENSES</t>
  </si>
  <si>
    <t>5.1  INNOVATION COMPETITION &amp; CHALLENGE REVIEWERS  EXPENSES</t>
  </si>
  <si>
    <t>7.1 COMMUNICATION EXPENSES</t>
  </si>
  <si>
    <t>7.2 NEWS LETTER PUBLICATION</t>
  </si>
  <si>
    <t>1.2 POST GRADUATE STUDENTS TRAINING FEES</t>
  </si>
  <si>
    <t>1.3 POST GRADUATE STUDENTS ACCOMMODATION</t>
  </si>
  <si>
    <t>1.4 POST GRADUATE STUDENTS STIPENDS</t>
  </si>
  <si>
    <t>1.6 NON- GHANAIAN STUDENTS' CARDS &amp; PERMIT</t>
  </si>
  <si>
    <t>Opening Cash Balance (1st January, 2021)</t>
  </si>
  <si>
    <t>KNUST ENGINEERING EDUCATION PROJECT (KEEP) - KUMASI</t>
  </si>
  <si>
    <t xml:space="preserve">KNUST ENGINEERING EDUCATION PROJECT (KEEP) - KUMASI </t>
  </si>
  <si>
    <t>for the semi-annual period ending 30th June 2021</t>
  </si>
  <si>
    <t>KNUST -KEEP , AFRICA CENTER OF EXCELLENCE</t>
  </si>
  <si>
    <t xml:space="preserve">LEARNING AND TEACHING ENVIRONMENT </t>
  </si>
  <si>
    <t>POST GRADUATE STUDENT BUILDING</t>
  </si>
  <si>
    <t xml:space="preserve">GAP ASSESSMENT </t>
  </si>
  <si>
    <t>INTERNATIONAL ACCREDITATION</t>
  </si>
  <si>
    <t xml:space="preserve">Learning and Teaching evironment </t>
  </si>
  <si>
    <t>3.0 REGIONAL RESEARCH CAPACITY BUILDING</t>
  </si>
  <si>
    <t>6.1 BANK CHARGES</t>
  </si>
  <si>
    <t>6.0 GOVERNANCE AND ADMINISTRATION</t>
  </si>
  <si>
    <t>6.2 MANAGEMENT AND BOARD MEETINGS</t>
  </si>
  <si>
    <t>6.3 FOREIGN TRAVEL AND SUBSISTENCE</t>
  </si>
  <si>
    <t>6.5 LOCAL TRAVEL AND SUBSISTENCE</t>
  </si>
  <si>
    <t>6.7 PRINTING &amp; STATIONERY</t>
  </si>
  <si>
    <t>6.8 WAGES &amp; SALARIES</t>
  </si>
  <si>
    <t>3.1 WORKSHOP AND CONFERENCE EXPENSES</t>
  </si>
  <si>
    <t>for the semi-annual period ending 31st December, 2021</t>
  </si>
  <si>
    <t>Semi-Annual Period ending 31st December, 2021</t>
  </si>
  <si>
    <t>Start of Project to Reporting date (1st Jan. 2019 - 31st Dec. 2021)</t>
  </si>
  <si>
    <t>2.2 CONSTRUCTION OF  POSTGRADUATE BUILDING -CERTIFICATE NO. 1- 5</t>
  </si>
  <si>
    <t>2.4 ENVIRONMENTAL AGENCY PROCESSING FEES</t>
  </si>
  <si>
    <t>6.10 OFFICE EQUIPMENT</t>
  </si>
  <si>
    <t>The schedule below provide additional details on expenditures summarized in the Sources and Uses of Funds covering the period  1st January 2021 to 31st December, 2021.</t>
  </si>
  <si>
    <t>Semi-Annual Period ending 31st Dec..2021</t>
  </si>
  <si>
    <t>for the semi-annual period ending 31st December 2021</t>
  </si>
  <si>
    <t>6.6 CALL CREDITS AND OFFICE EXPENSES</t>
  </si>
  <si>
    <t xml:space="preserve">5.2 COST OF 3D PRINTERS FOR INNOVATION CENTRE </t>
  </si>
  <si>
    <t>6.9 WORKSHOPS AND SEMINARS</t>
  </si>
  <si>
    <t>Semi-Annual Period ending 31st Dec.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</si>
</sst>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mmmm\ yyyy"/>
    <numFmt numFmtId="168" formatCode="_([$USD]\ * #,##0.00_);_([$USD]\ * \(#,##0.00\);_([$USD]\ * &quot;-&quot;??_);_(@_)"/>
    <numFmt numFmtId="169" formatCode="_-* #,##0.00\ &quot;€&quot;_-;\-* #,##0.00\ &quot;€&quot;_-;_-* &quot;-&quot;??\ &quot;€&quot;_-;_-@_-"/>
    <numFmt numFmtId="170" formatCode="[$-40C]mmm\-yy;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006100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3"/>
      <name val="Cambria"/>
      <family val="2"/>
      <scheme val="major"/>
    </font>
    <font>
      <b/>
      <sz val="18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4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33" applyNumberFormat="0" applyFill="0" applyAlignment="0" applyProtection="0"/>
    <xf numFmtId="0" fontId="23" fillId="11" borderId="35" applyNumberFormat="0" applyFont="0" applyAlignment="0" applyProtection="0"/>
    <xf numFmtId="0" fontId="23" fillId="11" borderId="35" applyNumberFormat="0" applyFont="0" applyAlignment="0" applyProtection="0"/>
    <xf numFmtId="0" fontId="23" fillId="11" borderId="35" applyNumberFormat="0" applyFont="0" applyAlignment="0" applyProtection="0"/>
    <xf numFmtId="0" fontId="23" fillId="11" borderId="35" applyNumberFormat="0" applyFont="0" applyAlignment="0" applyProtection="0"/>
    <xf numFmtId="0" fontId="22" fillId="11" borderId="35" applyNumberFormat="0" applyFon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7" fillId="8" borderId="0" applyNumberFormat="0" applyBorder="0" applyAlignment="0" applyProtection="0"/>
    <xf numFmtId="0" fontId="28" fillId="9" borderId="3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17" fillId="0" borderId="30" applyNumberFormat="0" applyFill="0" applyAlignment="0" applyProtection="0"/>
    <xf numFmtId="0" fontId="18" fillId="0" borderId="31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36" applyNumberFormat="0" applyFill="0" applyAlignment="0" applyProtection="0"/>
    <xf numFmtId="0" fontId="21" fillId="10" borderId="34" applyNumberFormat="0" applyAlignment="0" applyProtection="0"/>
    <xf numFmtId="43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/>
    <xf numFmtId="0" fontId="0" fillId="2" borderId="11" xfId="0" applyFill="1" applyBorder="1"/>
    <xf numFmtId="0" fontId="0" fillId="2" borderId="3" xfId="0" applyFill="1" applyBorder="1"/>
    <xf numFmtId="0" fontId="0" fillId="2" borderId="5" xfId="0" applyFill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5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0" borderId="14" xfId="0" applyFont="1" applyBorder="1"/>
    <xf numFmtId="0" fontId="3" fillId="2" borderId="11" xfId="0" applyFont="1" applyFill="1" applyBorder="1"/>
    <xf numFmtId="0" fontId="0" fillId="0" borderId="15" xfId="0" applyBorder="1"/>
    <xf numFmtId="0" fontId="3" fillId="0" borderId="0" xfId="0" applyFont="1" applyAlignment="1">
      <alignment horizontal="right"/>
    </xf>
    <xf numFmtId="0" fontId="0" fillId="0" borderId="16" xfId="0" applyBorder="1"/>
    <xf numFmtId="0" fontId="5" fillId="0" borderId="16" xfId="0" applyFont="1" applyBorder="1"/>
    <xf numFmtId="0" fontId="5" fillId="0" borderId="0" xfId="0" applyFont="1"/>
    <xf numFmtId="0" fontId="3" fillId="0" borderId="17" xfId="0" applyFont="1" applyBorder="1"/>
    <xf numFmtId="0" fontId="7" fillId="0" borderId="2" xfId="0" applyFont="1" applyBorder="1"/>
    <xf numFmtId="0" fontId="2" fillId="0" borderId="3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65" fontId="0" fillId="0" borderId="8" xfId="0" applyNumberFormat="1" applyBorder="1"/>
    <xf numFmtId="165" fontId="0" fillId="0" borderId="6" xfId="0" applyNumberFormat="1" applyBorder="1"/>
    <xf numFmtId="0" fontId="0" fillId="0" borderId="6" xfId="0" applyFill="1" applyBorder="1"/>
    <xf numFmtId="165" fontId="0" fillId="0" borderId="6" xfId="0" applyNumberFormat="1" applyFill="1" applyBorder="1"/>
    <xf numFmtId="0" fontId="3" fillId="0" borderId="18" xfId="0" applyFont="1" applyBorder="1"/>
    <xf numFmtId="0" fontId="3" fillId="0" borderId="21" xfId="0" applyFont="1" applyBorder="1" applyAlignment="1">
      <alignment horizontal="left"/>
    </xf>
    <xf numFmtId="165" fontId="0" fillId="0" borderId="18" xfId="0" applyNumberFormat="1" applyBorder="1"/>
    <xf numFmtId="165" fontId="3" fillId="0" borderId="19" xfId="0" applyNumberFormat="1" applyFont="1" applyBorder="1"/>
    <xf numFmtId="165" fontId="0" fillId="0" borderId="7" xfId="0" applyNumberFormat="1" applyBorder="1"/>
    <xf numFmtId="165" fontId="0" fillId="0" borderId="12" xfId="0" applyNumberFormat="1" applyBorder="1" applyAlignment="1">
      <alignment horizontal="right"/>
    </xf>
    <xf numFmtId="165" fontId="0" fillId="0" borderId="12" xfId="0" applyNumberFormat="1" applyBorder="1"/>
    <xf numFmtId="165" fontId="0" fillId="2" borderId="3" xfId="0" applyNumberFormat="1" applyFill="1" applyBorder="1"/>
    <xf numFmtId="165" fontId="3" fillId="0" borderId="12" xfId="1" applyNumberFormat="1" applyFont="1" applyBorder="1" applyAlignment="1">
      <alignment horizontal="right"/>
    </xf>
    <xf numFmtId="165" fontId="0" fillId="0" borderId="6" xfId="1" applyNumberFormat="1" applyFont="1" applyBorder="1"/>
    <xf numFmtId="165" fontId="0" fillId="0" borderId="18" xfId="0" applyNumberFormat="1" applyFill="1" applyBorder="1"/>
    <xf numFmtId="165" fontId="0" fillId="0" borderId="3" xfId="0" applyNumberFormat="1" applyFill="1" applyBorder="1"/>
    <xf numFmtId="165" fontId="0" fillId="0" borderId="6" xfId="1" applyNumberFormat="1" applyFont="1" applyFill="1" applyBorder="1"/>
    <xf numFmtId="165" fontId="3" fillId="0" borderId="22" xfId="1" applyNumberFormat="1" applyFont="1" applyBorder="1"/>
    <xf numFmtId="165" fontId="3" fillId="2" borderId="11" xfId="0" applyNumberFormat="1" applyFont="1" applyFill="1" applyBorder="1"/>
    <xf numFmtId="165" fontId="3" fillId="0" borderId="6" xfId="1" applyNumberFormat="1" applyFont="1" applyBorder="1"/>
    <xf numFmtId="165" fontId="7" fillId="0" borderId="6" xfId="1" applyNumberFormat="1" applyFont="1" applyBorder="1"/>
    <xf numFmtId="0" fontId="2" fillId="0" borderId="2" xfId="0" applyFont="1" applyBorder="1"/>
    <xf numFmtId="165" fontId="3" fillId="0" borderId="12" xfId="0" applyNumberFormat="1" applyFont="1" applyBorder="1"/>
    <xf numFmtId="0" fontId="3" fillId="0" borderId="15" xfId="0" applyFont="1" applyBorder="1"/>
    <xf numFmtId="0" fontId="3" fillId="0" borderId="13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 wrapText="1"/>
    </xf>
    <xf numFmtId="3" fontId="2" fillId="0" borderId="6" xfId="0" applyNumberFormat="1" applyFont="1" applyBorder="1"/>
    <xf numFmtId="165" fontId="0" fillId="0" borderId="6" xfId="1" applyFont="1" applyBorder="1"/>
    <xf numFmtId="0" fontId="8" fillId="0" borderId="6" xfId="0" applyFont="1" applyBorder="1"/>
    <xf numFmtId="0" fontId="8" fillId="0" borderId="18" xfId="0" applyFont="1" applyFill="1" applyBorder="1"/>
    <xf numFmtId="0" fontId="2" fillId="0" borderId="0" xfId="0" applyFont="1" applyBorder="1"/>
    <xf numFmtId="165" fontId="3" fillId="0" borderId="6" xfId="0" applyNumberFormat="1" applyFont="1" applyBorder="1"/>
    <xf numFmtId="0" fontId="3" fillId="0" borderId="6" xfId="0" applyFont="1" applyBorder="1"/>
    <xf numFmtId="0" fontId="0" fillId="0" borderId="19" xfId="0" applyBorder="1"/>
    <xf numFmtId="0" fontId="0" fillId="0" borderId="23" xfId="0" applyBorder="1"/>
    <xf numFmtId="0" fontId="8" fillId="0" borderId="6" xfId="2" applyFont="1" applyBorder="1"/>
    <xf numFmtId="165" fontId="2" fillId="0" borderId="6" xfId="1" applyNumberFormat="1" applyFont="1" applyBorder="1"/>
    <xf numFmtId="0" fontId="3" fillId="0" borderId="24" xfId="0" applyFont="1" applyBorder="1"/>
    <xf numFmtId="165" fontId="3" fillId="0" borderId="25" xfId="1" applyNumberFormat="1" applyFont="1" applyBorder="1"/>
    <xf numFmtId="0" fontId="0" fillId="0" borderId="20" xfId="0" applyBorder="1"/>
    <xf numFmtId="0" fontId="7" fillId="0" borderId="6" xfId="0" applyFont="1" applyBorder="1"/>
    <xf numFmtId="165" fontId="3" fillId="0" borderId="19" xfId="1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167" fontId="0" fillId="0" borderId="6" xfId="0" applyNumberFormat="1" applyBorder="1" applyAlignment="1">
      <alignment horizontal="right"/>
    </xf>
    <xf numFmtId="165" fontId="0" fillId="4" borderId="6" xfId="0" applyNumberFormat="1" applyFill="1" applyBorder="1"/>
    <xf numFmtId="165" fontId="10" fillId="0" borderId="6" xfId="0" applyNumberFormat="1" applyFont="1" applyBorder="1"/>
    <xf numFmtId="165" fontId="0" fillId="0" borderId="0" xfId="0" applyNumberFormat="1"/>
    <xf numFmtId="0" fontId="11" fillId="0" borderId="6" xfId="0" applyFont="1" applyBorder="1" applyAlignment="1">
      <alignment horizontal="center"/>
    </xf>
    <xf numFmtId="165" fontId="11" fillId="3" borderId="28" xfId="0" applyNumberFormat="1" applyFont="1" applyFill="1" applyBorder="1"/>
    <xf numFmtId="168" fontId="11" fillId="3" borderId="28" xfId="5" applyNumberFormat="1" applyFont="1" applyFill="1" applyBorder="1"/>
    <xf numFmtId="164" fontId="11" fillId="3" borderId="27" xfId="0" applyNumberFormat="1" applyFont="1" applyFill="1" applyBorder="1"/>
    <xf numFmtId="168" fontId="11" fillId="3" borderId="27" xfId="5" applyNumberFormat="1" applyFont="1" applyFill="1" applyBorder="1"/>
    <xf numFmtId="165" fontId="11" fillId="3" borderId="27" xfId="0" applyNumberFormat="1" applyFont="1" applyFill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/>
    <xf numFmtId="0" fontId="11" fillId="0" borderId="0" xfId="0" applyFont="1"/>
    <xf numFmtId="165" fontId="11" fillId="0" borderId="0" xfId="0" applyNumberFormat="1" applyFont="1"/>
    <xf numFmtId="0" fontId="11" fillId="0" borderId="0" xfId="0" applyFont="1" applyBorder="1" applyAlignment="1">
      <alignment horizontal="left"/>
    </xf>
    <xf numFmtId="0" fontId="12" fillId="0" borderId="0" xfId="0" applyFont="1" applyAlignment="1"/>
    <xf numFmtId="0" fontId="0" fillId="6" borderId="6" xfId="0" applyFill="1" applyBorder="1"/>
    <xf numFmtId="165" fontId="0" fillId="6" borderId="6" xfId="0" applyNumberFormat="1" applyFill="1" applyBorder="1"/>
    <xf numFmtId="165" fontId="0" fillId="6" borderId="0" xfId="0" applyNumberFormat="1" applyFill="1" applyBorder="1"/>
    <xf numFmtId="0" fontId="5" fillId="4" borderId="0" xfId="0" applyFont="1" applyFill="1"/>
    <xf numFmtId="0" fontId="0" fillId="4" borderId="0" xfId="0" applyFill="1"/>
    <xf numFmtId="0" fontId="5" fillId="4" borderId="16" xfId="0" applyFont="1" applyFill="1" applyBorder="1"/>
    <xf numFmtId="0" fontId="0" fillId="4" borderId="16" xfId="0" applyFill="1" applyBorder="1"/>
    <xf numFmtId="0" fontId="2" fillId="4" borderId="0" xfId="0" applyFont="1" applyFill="1"/>
    <xf numFmtId="0" fontId="3" fillId="4" borderId="0" xfId="0" applyFont="1" applyFill="1"/>
    <xf numFmtId="0" fontId="0" fillId="4" borderId="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11" xfId="0" applyFill="1" applyBorder="1"/>
    <xf numFmtId="0" fontId="0" fillId="4" borderId="4" xfId="0" applyFill="1" applyBorder="1"/>
    <xf numFmtId="0" fontId="0" fillId="4" borderId="5" xfId="0" applyFill="1" applyBorder="1"/>
    <xf numFmtId="0" fontId="3" fillId="4" borderId="6" xfId="0" applyFont="1" applyFill="1" applyBorder="1" applyAlignment="1">
      <alignment horizontal="left"/>
    </xf>
    <xf numFmtId="0" fontId="0" fillId="4" borderId="6" xfId="0" applyFill="1" applyBorder="1"/>
    <xf numFmtId="0" fontId="2" fillId="4" borderId="6" xfId="0" applyFont="1" applyFill="1" applyBorder="1"/>
    <xf numFmtId="165" fontId="0" fillId="4" borderId="6" xfId="1" applyNumberFormat="1" applyFont="1" applyFill="1" applyBorder="1"/>
    <xf numFmtId="0" fontId="3" fillId="4" borderId="6" xfId="0" applyFont="1" applyFill="1" applyBorder="1"/>
    <xf numFmtId="165" fontId="3" fillId="4" borderId="6" xfId="1" applyNumberFormat="1" applyFont="1" applyFill="1" applyBorder="1" applyAlignment="1">
      <alignment horizontal="right"/>
    </xf>
    <xf numFmtId="165" fontId="3" fillId="4" borderId="6" xfId="0" applyNumberFormat="1" applyFont="1" applyFill="1" applyBorder="1"/>
    <xf numFmtId="165" fontId="3" fillId="4" borderId="6" xfId="1" applyNumberFormat="1" applyFont="1" applyFill="1" applyBorder="1"/>
    <xf numFmtId="165" fontId="2" fillId="4" borderId="6" xfId="1" applyNumberFormat="1" applyFont="1" applyFill="1" applyBorder="1"/>
    <xf numFmtId="0" fontId="0" fillId="0" borderId="18" xfId="0" applyFill="1" applyBorder="1"/>
    <xf numFmtId="0" fontId="2" fillId="0" borderId="18" xfId="0" applyFont="1" applyBorder="1"/>
    <xf numFmtId="0" fontId="2" fillId="0" borderId="8" xfId="0" applyFont="1" applyFill="1" applyBorder="1"/>
    <xf numFmtId="0" fontId="3" fillId="7" borderId="6" xfId="0" applyFont="1" applyFill="1" applyBorder="1"/>
    <xf numFmtId="0" fontId="0" fillId="7" borderId="6" xfId="0" applyFill="1" applyBorder="1"/>
    <xf numFmtId="0" fontId="3" fillId="7" borderId="7" xfId="0" applyFont="1" applyFill="1" applyBorder="1"/>
    <xf numFmtId="165" fontId="3" fillId="7" borderId="6" xfId="0" applyNumberFormat="1" applyFont="1" applyFill="1" applyBorder="1"/>
    <xf numFmtId="0" fontId="15" fillId="7" borderId="6" xfId="0" applyFont="1" applyFill="1" applyBorder="1"/>
    <xf numFmtId="165" fontId="16" fillId="7" borderId="6" xfId="0" applyNumberFormat="1" applyFont="1" applyFill="1" applyBorder="1"/>
    <xf numFmtId="43" fontId="0" fillId="0" borderId="0" xfId="0" applyNumberFormat="1"/>
    <xf numFmtId="0" fontId="35" fillId="0" borderId="0" xfId="0" applyFont="1"/>
    <xf numFmtId="0" fontId="36" fillId="0" borderId="0" xfId="0" applyFont="1"/>
    <xf numFmtId="3" fontId="36" fillId="0" borderId="0" xfId="0" applyNumberFormat="1" applyFont="1" applyBorder="1"/>
    <xf numFmtId="0" fontId="35" fillId="0" borderId="0" xfId="0" applyFont="1" applyBorder="1"/>
    <xf numFmtId="3" fontId="37" fillId="37" borderId="0" xfId="0" applyNumberFormat="1" applyFont="1" applyFill="1" applyAlignment="1">
      <alignment horizontal="left" vertical="top" wrapText="1"/>
    </xf>
    <xf numFmtId="3" fontId="36" fillId="0" borderId="0" xfId="0" applyNumberFormat="1" applyFont="1"/>
    <xf numFmtId="0" fontId="38" fillId="0" borderId="0" xfId="0" applyFont="1"/>
    <xf numFmtId="3" fontId="36" fillId="0" borderId="0" xfId="0" applyNumberFormat="1" applyFont="1" applyAlignment="1">
      <alignment horizontal="right"/>
    </xf>
    <xf numFmtId="0" fontId="36" fillId="0" borderId="0" xfId="0" applyFont="1" applyFill="1"/>
    <xf numFmtId="3" fontId="36" fillId="0" borderId="0" xfId="0" applyNumberFormat="1" applyFont="1" applyFill="1" applyBorder="1"/>
    <xf numFmtId="165" fontId="10" fillId="0" borderId="6" xfId="2" applyNumberFormat="1" applyFont="1" applyBorder="1"/>
    <xf numFmtId="165" fontId="35" fillId="0" borderId="37" xfId="1" applyFont="1" applyBorder="1"/>
    <xf numFmtId="165" fontId="36" fillId="0" borderId="0" xfId="1" applyFont="1" applyAlignment="1">
      <alignment horizontal="right"/>
    </xf>
    <xf numFmtId="165" fontId="36" fillId="0" borderId="37" xfId="1" applyFont="1" applyBorder="1" applyAlignment="1">
      <alignment horizontal="right"/>
    </xf>
    <xf numFmtId="165" fontId="36" fillId="0" borderId="37" xfId="1" applyFont="1" applyBorder="1"/>
    <xf numFmtId="165" fontId="36" fillId="0" borderId="0" xfId="1" applyFont="1"/>
    <xf numFmtId="165" fontId="36" fillId="0" borderId="0" xfId="1" applyFont="1" applyBorder="1"/>
    <xf numFmtId="165" fontId="35" fillId="0" borderId="0" xfId="1" applyFont="1"/>
    <xf numFmtId="165" fontId="35" fillId="0" borderId="0" xfId="1" applyFont="1" applyBorder="1"/>
    <xf numFmtId="165" fontId="35" fillId="0" borderId="0" xfId="1" applyFont="1" applyAlignment="1">
      <alignment horizontal="right"/>
    </xf>
    <xf numFmtId="165" fontId="36" fillId="0" borderId="37" xfId="1" applyFont="1" applyFill="1" applyBorder="1"/>
    <xf numFmtId="43" fontId="0" fillId="0" borderId="6" xfId="0" applyNumberFormat="1" applyBorder="1"/>
    <xf numFmtId="165" fontId="0" fillId="2" borderId="0" xfId="0" applyNumberFormat="1" applyFill="1" applyBorder="1"/>
    <xf numFmtId="165" fontId="3" fillId="0" borderId="15" xfId="0" applyNumberFormat="1" applyFont="1" applyBorder="1"/>
    <xf numFmtId="0" fontId="0" fillId="2" borderId="4" xfId="0" applyFill="1" applyBorder="1"/>
    <xf numFmtId="165" fontId="3" fillId="7" borderId="23" xfId="0" applyNumberFormat="1" applyFont="1" applyFill="1" applyBorder="1"/>
    <xf numFmtId="0" fontId="0" fillId="0" borderId="7" xfId="0" applyBorder="1"/>
    <xf numFmtId="0" fontId="0" fillId="0" borderId="18" xfId="0" applyBorder="1" applyAlignment="1">
      <alignment horizontal="center" wrapText="1"/>
    </xf>
    <xf numFmtId="165" fontId="0" fillId="0" borderId="15" xfId="0" applyNumberFormat="1" applyBorder="1"/>
    <xf numFmtId="43" fontId="0" fillId="0" borderId="21" xfId="0" applyNumberFormat="1" applyBorder="1"/>
    <xf numFmtId="43" fontId="3" fillId="0" borderId="21" xfId="0" applyNumberFormat="1" applyFont="1" applyBorder="1"/>
    <xf numFmtId="165" fontId="3" fillId="0" borderId="7" xfId="0" applyNumberFormat="1" applyFont="1" applyBorder="1"/>
    <xf numFmtId="165" fontId="3" fillId="0" borderId="21" xfId="0" applyNumberFormat="1" applyFont="1" applyBorder="1"/>
    <xf numFmtId="43" fontId="3" fillId="0" borderId="7" xfId="0" applyNumberFormat="1" applyFont="1" applyBorder="1"/>
    <xf numFmtId="0" fontId="39" fillId="5" borderId="8" xfId="0" applyFont="1" applyFill="1" applyBorder="1"/>
    <xf numFmtId="165" fontId="40" fillId="5" borderId="6" xfId="0" applyNumberFormat="1" applyFont="1" applyFill="1" applyBorder="1"/>
    <xf numFmtId="43" fontId="40" fillId="5" borderId="6" xfId="0" applyNumberFormat="1" applyFont="1" applyFill="1" applyBorder="1"/>
    <xf numFmtId="0" fontId="2" fillId="0" borderId="18" xfId="0" applyFont="1" applyBorder="1" applyAlignment="1">
      <alignment horizontal="center" wrapText="1"/>
    </xf>
    <xf numFmtId="165" fontId="35" fillId="0" borderId="0" xfId="0" applyNumberFormat="1" applyFont="1"/>
    <xf numFmtId="165" fontId="0" fillId="0" borderId="0" xfId="1" applyFont="1"/>
    <xf numFmtId="165" fontId="2" fillId="7" borderId="6" xfId="1" applyNumberFormat="1" applyFont="1" applyFill="1" applyBorder="1"/>
    <xf numFmtId="165" fontId="2" fillId="7" borderId="6" xfId="0" applyNumberFormat="1" applyFont="1" applyFill="1" applyBorder="1"/>
    <xf numFmtId="0" fontId="2" fillId="7" borderId="6" xfId="0" applyFont="1" applyFill="1" applyBorder="1"/>
    <xf numFmtId="43" fontId="35" fillId="0" borderId="0" xfId="0" applyNumberFormat="1" applyFont="1"/>
    <xf numFmtId="0" fontId="2" fillId="0" borderId="6" xfId="0" applyFont="1" applyFill="1" applyBorder="1"/>
    <xf numFmtId="165" fontId="2" fillId="0" borderId="6" xfId="1" applyNumberFormat="1" applyFont="1" applyFill="1" applyBorder="1"/>
    <xf numFmtId="0" fontId="0" fillId="38" borderId="6" xfId="0" applyFill="1" applyBorder="1" applyAlignment="1">
      <alignment vertical="center"/>
    </xf>
    <xf numFmtId="165" fontId="0" fillId="0" borderId="6" xfId="1" applyFon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6" xfId="4" applyFont="1" applyBorder="1" applyAlignment="1">
      <alignment horizontal="center"/>
    </xf>
    <xf numFmtId="0" fontId="41" fillId="0" borderId="6" xfId="0" applyNumberFormat="1" applyFont="1" applyFill="1" applyBorder="1" applyAlignment="1">
      <alignment vertical="top" wrapText="1" readingOrder="1"/>
    </xf>
    <xf numFmtId="0" fontId="3" fillId="0" borderId="6" xfId="0" applyFont="1" applyBorder="1" applyAlignment="1">
      <alignment horizontal="left"/>
    </xf>
    <xf numFmtId="0" fontId="8" fillId="0" borderId="6" xfId="0" applyFont="1" applyFill="1" applyBorder="1"/>
    <xf numFmtId="165" fontId="3" fillId="0" borderId="38" xfId="1" applyNumberFormat="1" applyFont="1" applyBorder="1" applyAlignment="1">
      <alignment horizontal="right"/>
    </xf>
    <xf numFmtId="3" fontId="0" fillId="0" borderId="7" xfId="0" applyNumberFormat="1" applyBorder="1"/>
    <xf numFmtId="0" fontId="3" fillId="0" borderId="21" xfId="0" applyFont="1" applyBorder="1"/>
    <xf numFmtId="165" fontId="0" fillId="0" borderId="7" xfId="1" applyNumberFormat="1" applyFont="1" applyFill="1" applyBorder="1"/>
    <xf numFmtId="165" fontId="0" fillId="0" borderId="7" xfId="0" applyNumberFormat="1" applyFill="1" applyBorder="1"/>
    <xf numFmtId="0" fontId="0" fillId="0" borderId="7" xfId="0" applyFill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165" fontId="3" fillId="2" borderId="14" xfId="0" applyNumberFormat="1" applyFont="1" applyFill="1" applyBorder="1"/>
    <xf numFmtId="165" fontId="3" fillId="2" borderId="15" xfId="0" applyNumberFormat="1" applyFont="1" applyFill="1" applyBorder="1"/>
    <xf numFmtId="0" fontId="3" fillId="2" borderId="15" xfId="0" applyFont="1" applyFill="1" applyBorder="1"/>
    <xf numFmtId="0" fontId="3" fillId="2" borderId="13" xfId="0" applyFont="1" applyFill="1" applyBorder="1"/>
    <xf numFmtId="165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9" fontId="0" fillId="0" borderId="0" xfId="133" applyFont="1"/>
    <xf numFmtId="165" fontId="7" fillId="0" borderId="7" xfId="1" applyNumberFormat="1" applyFont="1" applyBorder="1"/>
    <xf numFmtId="0" fontId="0" fillId="0" borderId="18" xfId="0" applyBorder="1"/>
    <xf numFmtId="165" fontId="7" fillId="0" borderId="8" xfId="1" applyNumberFormat="1" applyFont="1" applyBorder="1"/>
    <xf numFmtId="165" fontId="3" fillId="0" borderId="7" xfId="1" applyNumberFormat="1" applyFont="1" applyBorder="1" applyAlignment="1">
      <alignment horizontal="right"/>
    </xf>
    <xf numFmtId="165" fontId="3" fillId="0" borderId="18" xfId="1" applyNumberFormat="1" applyFont="1" applyBorder="1" applyAlignment="1">
      <alignment horizontal="right"/>
    </xf>
    <xf numFmtId="0" fontId="0" fillId="0" borderId="8" xfId="0" applyFill="1" applyBorder="1"/>
    <xf numFmtId="165" fontId="0" fillId="2" borderId="22" xfId="0" applyNumberFormat="1" applyFill="1" applyBorder="1"/>
    <xf numFmtId="165" fontId="0" fillId="2" borderId="38" xfId="0" applyNumberFormat="1" applyFill="1" applyBorder="1"/>
    <xf numFmtId="0" fontId="0" fillId="2" borderId="12" xfId="0" applyFill="1" applyBorder="1"/>
    <xf numFmtId="0" fontId="0" fillId="2" borderId="13" xfId="0" applyFill="1" applyBorder="1"/>
    <xf numFmtId="165" fontId="42" fillId="0" borderId="6" xfId="1" applyFont="1" applyFill="1" applyBorder="1" applyAlignment="1">
      <alignment vertical="top" wrapText="1" readingOrder="1"/>
    </xf>
    <xf numFmtId="165" fontId="0" fillId="0" borderId="6" xfId="1" applyFont="1" applyFill="1" applyBorder="1"/>
    <xf numFmtId="165" fontId="3" fillId="0" borderId="22" xfId="0" applyNumberFormat="1" applyFont="1" applyBorder="1"/>
    <xf numFmtId="0" fontId="0" fillId="4" borderId="6" xfId="0" applyFill="1" applyBorder="1" applyAlignment="1"/>
    <xf numFmtId="165" fontId="3" fillId="0" borderId="0" xfId="0" applyNumberFormat="1" applyFont="1"/>
    <xf numFmtId="165" fontId="3" fillId="0" borderId="6" xfId="0" applyNumberFormat="1" applyFont="1" applyFill="1" applyBorder="1"/>
    <xf numFmtId="165" fontId="2" fillId="0" borderId="6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6" fillId="37" borderId="0" xfId="0" applyFont="1" applyFill="1" applyAlignment="1">
      <alignment horizontal="left"/>
    </xf>
    <xf numFmtId="0" fontId="36" fillId="37" borderId="0" xfId="0" applyFont="1" applyFill="1" applyAlignment="1">
      <alignment horizontal="left" vertical="top"/>
    </xf>
    <xf numFmtId="0" fontId="34" fillId="36" borderId="0" xfId="0" applyFont="1" applyFill="1" applyAlignment="1">
      <alignment horizontal="center"/>
    </xf>
    <xf numFmtId="0" fontId="36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34">
    <cellStyle name="20 % - Accent1 2" xfId="7"/>
    <cellStyle name="20 % - Accent2 2" xfId="8"/>
    <cellStyle name="20 % - Accent3 2" xfId="9"/>
    <cellStyle name="20 % - Accent4 2" xfId="10"/>
    <cellStyle name="20 % - Accent5 2" xfId="11"/>
    <cellStyle name="20 % - Accent6 2" xfId="12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 % - Accent1 2" xfId="19"/>
    <cellStyle name="60 % - Accent2 2" xfId="20"/>
    <cellStyle name="60 % - Accent3 2" xfId="21"/>
    <cellStyle name="60 % - Accent4 2" xfId="22"/>
    <cellStyle name="60 % - Accent5 2" xfId="23"/>
    <cellStyle name="60 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Avertissement 2" xfId="31"/>
    <cellStyle name="Cellule liée 2" xfId="32"/>
    <cellStyle name="Comma" xfId="1" builtinId="3"/>
    <cellStyle name="Comma 2" xfId="129"/>
    <cellStyle name="Comma 3" xfId="131"/>
    <cellStyle name="Commentaire 2" xfId="33"/>
    <cellStyle name="Commentaire 3" xfId="34"/>
    <cellStyle name="Commentaire 4" xfId="35"/>
    <cellStyle name="Commentaire 5" xfId="36"/>
    <cellStyle name="Commentaire 6" xfId="37"/>
    <cellStyle name="Currency" xfId="5" builtinId="4"/>
    <cellStyle name="Currency 2" xfId="3"/>
    <cellStyle name="Currency 3" xfId="132"/>
    <cellStyle name="Euro" xfId="38"/>
    <cellStyle name="Euro 10" xfId="39"/>
    <cellStyle name="Euro 11" xfId="40"/>
    <cellStyle name="Euro 12" xfId="41"/>
    <cellStyle name="Euro 13" xfId="42"/>
    <cellStyle name="Euro 13 2" xfId="43"/>
    <cellStyle name="Euro 14" xfId="44"/>
    <cellStyle name="Euro 15" xfId="45"/>
    <cellStyle name="Euro 16" xfId="46"/>
    <cellStyle name="Euro 17" xfId="47"/>
    <cellStyle name="Euro 2" xfId="48"/>
    <cellStyle name="Euro 2 2" xfId="49"/>
    <cellStyle name="Euro 3" xfId="50"/>
    <cellStyle name="Euro 3 2" xfId="51"/>
    <cellStyle name="Euro 4" xfId="52"/>
    <cellStyle name="Euro 4 2" xfId="53"/>
    <cellStyle name="Euro 5" xfId="54"/>
    <cellStyle name="Euro 6" xfId="55"/>
    <cellStyle name="Euro 6 2" xfId="56"/>
    <cellStyle name="Euro 7" xfId="57"/>
    <cellStyle name="Euro 8" xfId="58"/>
    <cellStyle name="Euro 9" xfId="59"/>
    <cellStyle name="Lien hypertexte 2" xfId="60"/>
    <cellStyle name="Lien hypertexte 2 2" xfId="61"/>
    <cellStyle name="Lien hypertexte 2 3 2" xfId="62"/>
    <cellStyle name="Lien hypertexte 3" xfId="63"/>
    <cellStyle name="Normal" xfId="0" builtinId="0"/>
    <cellStyle name="Normal 10" xfId="64"/>
    <cellStyle name="Normal 11" xfId="130"/>
    <cellStyle name="Normal 11 2" xfId="65"/>
    <cellStyle name="Normal 12" xfId="66"/>
    <cellStyle name="Normal 14" xfId="67"/>
    <cellStyle name="Normal 14 2" xfId="68"/>
    <cellStyle name="Normal 15" xfId="69"/>
    <cellStyle name="Normal 16" xfId="70"/>
    <cellStyle name="Normal 16 2" xfId="71"/>
    <cellStyle name="Normal 19" xfId="72"/>
    <cellStyle name="Normal 2" xfId="2"/>
    <cellStyle name="Normal 2 10" xfId="73"/>
    <cellStyle name="Normal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3" xfId="82"/>
    <cellStyle name="Normal 3 2" xfId="83"/>
    <cellStyle name="Normal 3 3" xfId="84"/>
    <cellStyle name="Normal 3 4" xfId="85"/>
    <cellStyle name="Normal 3 5" xfId="86"/>
    <cellStyle name="Normal 3 6" xfId="87"/>
    <cellStyle name="Normal 3 7" xfId="88"/>
    <cellStyle name="Normal 3 8" xfId="89"/>
    <cellStyle name="Normal 32" xfId="90"/>
    <cellStyle name="Normal 4" xfId="91"/>
    <cellStyle name="Normal 4 2" xfId="92"/>
    <cellStyle name="Normal 4 2 2" xfId="93"/>
    <cellStyle name="Normal 4 3" xfId="94"/>
    <cellStyle name="Normal 4 4" xfId="95"/>
    <cellStyle name="Normal 4 5" xfId="96"/>
    <cellStyle name="Normal 4 6" xfId="97"/>
    <cellStyle name="Normal 4 7" xfId="98"/>
    <cellStyle name="Normal 4 8" xfId="99"/>
    <cellStyle name="Normal 5" xfId="100"/>
    <cellStyle name="Normal 5 2" xfId="101"/>
    <cellStyle name="Normal 5 3" xfId="102"/>
    <cellStyle name="Normal 5 4" xfId="103"/>
    <cellStyle name="Normal 5 5" xfId="104"/>
    <cellStyle name="Normal 5 6" xfId="105"/>
    <cellStyle name="Normal 5 7" xfId="106"/>
    <cellStyle name="Normal 5 8" xfId="107"/>
    <cellStyle name="Normal 6" xfId="108"/>
    <cellStyle name="Normal 6 2" xfId="109"/>
    <cellStyle name="Normal 6 3" xfId="110"/>
    <cellStyle name="Normal 6 4" xfId="111"/>
    <cellStyle name="Normal 63" xfId="112"/>
    <cellStyle name="Normal 66" xfId="113"/>
    <cellStyle name="Normal 7" xfId="114"/>
    <cellStyle name="Normal 7 2" xfId="115"/>
    <cellStyle name="Normal 7 3" xfId="116"/>
    <cellStyle name="Normal 8" xfId="117"/>
    <cellStyle name="Normal 9" xfId="6"/>
    <cellStyle name="Normal 9 2" xfId="118"/>
    <cellStyle name="Percent" xfId="133" builtinId="5"/>
    <cellStyle name="Percent 2" xfId="4"/>
    <cellStyle name="Satisfaisant 2" xfId="119"/>
    <cellStyle name="Sortie 2" xfId="120"/>
    <cellStyle name="Texte explicatif 2" xfId="121"/>
    <cellStyle name="Titre 2" xfId="122"/>
    <cellStyle name="Titre 1 2" xfId="123"/>
    <cellStyle name="Titre 2 2" xfId="124"/>
    <cellStyle name="Titre 3 2" xfId="125"/>
    <cellStyle name="Titre 4 2" xfId="126"/>
    <cellStyle name="Total 2" xfId="127"/>
    <cellStyle name="Vérification 2" xfId="128"/>
  </cellStyles>
  <dxfs count="0"/>
  <tableStyles count="0" defaultTableStyle="TableStyleMedium9" defaultPivotStyle="PivotStyleLight16"/>
  <colors>
    <mruColors>
      <color rgb="FF80008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61"/>
  <sheetViews>
    <sheetView tabSelected="1" workbookViewId="0">
      <selection activeCell="D41" sqref="D41"/>
    </sheetView>
  </sheetViews>
  <sheetFormatPr defaultRowHeight="12.75" x14ac:dyDescent="0.2"/>
  <cols>
    <col min="3" max="3" width="59.85546875" customWidth="1"/>
    <col min="4" max="4" width="22.5703125" customWidth="1"/>
    <col min="5" max="5" width="27" customWidth="1"/>
    <col min="6" max="6" width="28" customWidth="1"/>
    <col min="7" max="7" width="13.28515625" customWidth="1"/>
    <col min="8" max="8" width="18" customWidth="1"/>
  </cols>
  <sheetData>
    <row r="3" spans="2:7" ht="15.75" x14ac:dyDescent="0.25">
      <c r="C3" s="20"/>
      <c r="D3" s="4"/>
      <c r="E3" s="4"/>
    </row>
    <row r="4" spans="2:7" ht="15.75" x14ac:dyDescent="0.25">
      <c r="C4" s="20"/>
      <c r="D4" s="4"/>
      <c r="E4" s="4"/>
    </row>
    <row r="5" spans="2:7" x14ac:dyDescent="0.2">
      <c r="C5" s="35"/>
      <c r="D5" s="36"/>
      <c r="E5" s="36"/>
      <c r="F5" s="37"/>
    </row>
    <row r="6" spans="2:7" x14ac:dyDescent="0.2">
      <c r="B6" s="28"/>
      <c r="C6" s="231"/>
      <c r="D6" s="232"/>
      <c r="E6" s="232"/>
      <c r="F6" s="5"/>
    </row>
    <row r="7" spans="2:7" x14ac:dyDescent="0.2">
      <c r="C7" s="231" t="s">
        <v>111</v>
      </c>
      <c r="D7" s="232"/>
      <c r="E7" s="232"/>
      <c r="F7" s="233"/>
    </row>
    <row r="8" spans="2:7" ht="15" x14ac:dyDescent="0.25">
      <c r="C8" s="234" t="s">
        <v>22</v>
      </c>
      <c r="D8" s="235"/>
      <c r="E8" s="235"/>
      <c r="F8" s="236"/>
    </row>
    <row r="9" spans="2:7" x14ac:dyDescent="0.2">
      <c r="C9" s="231" t="s">
        <v>21</v>
      </c>
      <c r="D9" s="232"/>
      <c r="E9" s="232"/>
      <c r="F9" s="233"/>
    </row>
    <row r="10" spans="2:7" x14ac:dyDescent="0.2">
      <c r="C10" s="237" t="s">
        <v>129</v>
      </c>
      <c r="D10" s="238"/>
      <c r="E10" s="238"/>
      <c r="F10" s="239"/>
    </row>
    <row r="13" spans="2:7" x14ac:dyDescent="0.2">
      <c r="C13" s="2"/>
      <c r="D13" s="2"/>
      <c r="E13" s="38"/>
      <c r="F13" s="38"/>
      <c r="G13" s="1"/>
    </row>
    <row r="14" spans="2:7" x14ac:dyDescent="0.2">
      <c r="C14" s="6"/>
      <c r="D14" s="6"/>
      <c r="E14" s="39" t="s">
        <v>20</v>
      </c>
      <c r="F14" s="39" t="s">
        <v>19</v>
      </c>
      <c r="G14" s="1"/>
    </row>
    <row r="15" spans="2:7" ht="38.25" x14ac:dyDescent="0.2">
      <c r="C15" s="22" t="s">
        <v>2</v>
      </c>
      <c r="D15" s="67" t="s">
        <v>141</v>
      </c>
      <c r="E15" s="173" t="s">
        <v>98</v>
      </c>
      <c r="F15" s="183" t="s">
        <v>131</v>
      </c>
      <c r="G15" s="1"/>
    </row>
    <row r="16" spans="2:7" x14ac:dyDescent="0.2">
      <c r="C16" s="19"/>
      <c r="D16" s="19"/>
      <c r="E16" s="40"/>
      <c r="F16" s="39"/>
      <c r="G16" s="1"/>
    </row>
    <row r="17" spans="3:6" x14ac:dyDescent="0.2">
      <c r="C17" s="14"/>
      <c r="D17" s="14"/>
      <c r="E17" s="10"/>
      <c r="F17" s="10"/>
    </row>
    <row r="18" spans="3:6" x14ac:dyDescent="0.2">
      <c r="C18" s="21" t="s">
        <v>110</v>
      </c>
      <c r="D18" s="41">
        <v>976816.1</v>
      </c>
      <c r="E18" s="41"/>
      <c r="F18" s="9"/>
    </row>
    <row r="19" spans="3:6" x14ac:dyDescent="0.2">
      <c r="C19" s="3"/>
      <c r="D19" s="42"/>
      <c r="E19" s="42"/>
      <c r="F19" s="9"/>
    </row>
    <row r="20" spans="3:6" x14ac:dyDescent="0.2">
      <c r="C20" s="33" t="s">
        <v>28</v>
      </c>
      <c r="D20" s="42"/>
      <c r="E20" s="42"/>
      <c r="F20" s="9"/>
    </row>
    <row r="21" spans="3:6" x14ac:dyDescent="0.2">
      <c r="C21" s="3" t="s">
        <v>23</v>
      </c>
      <c r="D21" s="49"/>
      <c r="E21" s="41">
        <v>976816.1</v>
      </c>
      <c r="F21" s="167"/>
    </row>
    <row r="22" spans="3:6" ht="13.5" thickBot="1" x14ac:dyDescent="0.25">
      <c r="C22" s="3" t="s">
        <v>9</v>
      </c>
      <c r="D22" s="49"/>
      <c r="E22" s="49"/>
      <c r="F22" s="172"/>
    </row>
    <row r="23" spans="3:6" ht="13.5" thickBot="1" x14ac:dyDescent="0.25">
      <c r="C23" s="25" t="s">
        <v>0</v>
      </c>
      <c r="D23" s="50">
        <f>SUM(D18:D22)</f>
        <v>976816.1</v>
      </c>
      <c r="E23" s="174">
        <f>SUM(E18:E22)</f>
        <v>976816.1</v>
      </c>
      <c r="F23" s="175">
        <f>F21</f>
        <v>0</v>
      </c>
    </row>
    <row r="24" spans="3:6" x14ac:dyDescent="0.2">
      <c r="C24" s="15"/>
      <c r="D24" s="52"/>
      <c r="E24" s="52"/>
      <c r="F24" s="168"/>
    </row>
    <row r="25" spans="3:6" x14ac:dyDescent="0.2">
      <c r="C25" s="21" t="s">
        <v>3</v>
      </c>
      <c r="D25" s="42"/>
      <c r="E25" s="42"/>
      <c r="F25" s="9"/>
    </row>
    <row r="26" spans="3:6" x14ac:dyDescent="0.2">
      <c r="C26" s="33" t="s">
        <v>28</v>
      </c>
      <c r="D26" s="42"/>
      <c r="E26" s="42"/>
      <c r="F26" s="9"/>
    </row>
    <row r="27" spans="3:6" x14ac:dyDescent="0.2">
      <c r="C27" s="3" t="s">
        <v>23</v>
      </c>
      <c r="D27" s="42">
        <f>1833955.53+455674.62</f>
        <v>2289630.15</v>
      </c>
      <c r="E27" s="42">
        <f>D27</f>
        <v>2289630.15</v>
      </c>
      <c r="F27" s="42">
        <f>E27+1326479.17</f>
        <v>3616109.32</v>
      </c>
    </row>
    <row r="28" spans="3:6" ht="13.5" thickBot="1" x14ac:dyDescent="0.25">
      <c r="C28" s="3" t="s">
        <v>9</v>
      </c>
      <c r="D28" s="49"/>
      <c r="E28" s="49"/>
      <c r="F28" s="172"/>
    </row>
    <row r="29" spans="3:6" ht="13.5" thickBot="1" x14ac:dyDescent="0.25">
      <c r="C29" s="25" t="s">
        <v>4</v>
      </c>
      <c r="D29" s="51">
        <f>SUM(D23:D28)</f>
        <v>3266446.25</v>
      </c>
      <c r="E29" s="174">
        <f>SUM(E23:E28)</f>
        <v>3266446.25</v>
      </c>
      <c r="F29" s="176">
        <f>F21+F27</f>
        <v>3616109.32</v>
      </c>
    </row>
    <row r="30" spans="3:6" x14ac:dyDescent="0.2">
      <c r="C30" s="26"/>
      <c r="D30" s="52"/>
      <c r="E30" s="52"/>
      <c r="F30" s="168"/>
    </row>
    <row r="31" spans="3:6" x14ac:dyDescent="0.2">
      <c r="C31" s="21" t="s">
        <v>27</v>
      </c>
      <c r="D31" s="42"/>
      <c r="E31" s="42"/>
      <c r="F31" s="9"/>
    </row>
    <row r="32" spans="3:6" x14ac:dyDescent="0.2">
      <c r="C32" s="3"/>
      <c r="D32" s="42"/>
      <c r="E32" s="42"/>
      <c r="F32" s="9"/>
    </row>
    <row r="33" spans="2:8" x14ac:dyDescent="0.2">
      <c r="C33" s="62" t="s">
        <v>88</v>
      </c>
      <c r="D33" s="44">
        <f>'uses of fund by component'!C30</f>
        <v>241481.65</v>
      </c>
      <c r="E33" s="42">
        <f>D33+355834.37</f>
        <v>597316.02</v>
      </c>
      <c r="F33" s="167">
        <f>E33+143171.84</f>
        <v>740487.86</v>
      </c>
      <c r="G33" s="90"/>
    </row>
    <row r="34" spans="2:8" x14ac:dyDescent="0.2">
      <c r="C34" s="62" t="s">
        <v>82</v>
      </c>
      <c r="D34" s="44">
        <f>'uses of fund by component'!C37</f>
        <v>299157.87000000005</v>
      </c>
      <c r="E34" s="42">
        <f>D34+181102.74</f>
        <v>480260.61000000004</v>
      </c>
      <c r="F34" s="167">
        <f>E34+2920.41</f>
        <v>483181.02</v>
      </c>
      <c r="G34" s="90"/>
    </row>
    <row r="35" spans="2:8" x14ac:dyDescent="0.2">
      <c r="C35" s="62" t="s">
        <v>83</v>
      </c>
      <c r="D35" s="44">
        <f>'uses of fund by component'!C44</f>
        <v>0</v>
      </c>
      <c r="E35" s="42">
        <f>D35+2914.5</f>
        <v>2914.5</v>
      </c>
      <c r="F35" s="167">
        <f>E35+623.73</f>
        <v>3538.23</v>
      </c>
      <c r="G35" s="90"/>
    </row>
    <row r="36" spans="2:8" x14ac:dyDescent="0.2">
      <c r="C36" s="62" t="s">
        <v>84</v>
      </c>
      <c r="D36" s="211">
        <f>'uses of fund by component'!C51</f>
        <v>8634.14</v>
      </c>
      <c r="E36" s="42">
        <f>D36+2859.7</f>
        <v>11493.84</v>
      </c>
      <c r="F36" s="167">
        <f>E36+23844.79</f>
        <v>35338.630000000005</v>
      </c>
      <c r="G36" s="90"/>
    </row>
    <row r="37" spans="2:8" x14ac:dyDescent="0.2">
      <c r="C37" s="62" t="s">
        <v>85</v>
      </c>
      <c r="D37" s="211">
        <f>'uses of fund by component'!C59</f>
        <v>9119.27</v>
      </c>
      <c r="E37" s="42">
        <f>D37+1182.71</f>
        <v>10301.98</v>
      </c>
      <c r="F37" s="167">
        <f>E37+2123.6</f>
        <v>12425.58</v>
      </c>
      <c r="G37" s="90"/>
    </row>
    <row r="38" spans="2:8" x14ac:dyDescent="0.2">
      <c r="C38" s="62" t="s">
        <v>86</v>
      </c>
      <c r="D38" s="212">
        <f>'uses of fund by component'!C73</f>
        <v>63742.150000000009</v>
      </c>
      <c r="E38" s="42">
        <f>D38+27349.17</f>
        <v>91091.32</v>
      </c>
      <c r="F38" s="167">
        <f>E38+165010.14</f>
        <v>256101.46000000002</v>
      </c>
      <c r="G38" s="90"/>
    </row>
    <row r="39" spans="2:8" x14ac:dyDescent="0.2">
      <c r="B39" s="5"/>
      <c r="C39" s="72" t="s">
        <v>87</v>
      </c>
      <c r="D39" s="44">
        <f>'uses of fund by component'!C82</f>
        <v>3669.03</v>
      </c>
      <c r="E39" s="42">
        <f>D39+6138.75</f>
        <v>9807.7800000000007</v>
      </c>
      <c r="F39" s="167">
        <f>E39+11968.56</f>
        <v>21776.34</v>
      </c>
      <c r="G39" s="90"/>
    </row>
    <row r="40" spans="2:8" x14ac:dyDescent="0.2">
      <c r="B40" s="5"/>
      <c r="C40" s="72"/>
      <c r="D40" s="42"/>
      <c r="E40" s="42"/>
      <c r="F40" s="9"/>
    </row>
    <row r="41" spans="2:8" s="18" customFormat="1" ht="13.5" thickBot="1" x14ac:dyDescent="0.25">
      <c r="C41" s="32" t="s">
        <v>14</v>
      </c>
      <c r="D41" s="48">
        <f>SUM(D33:D39)</f>
        <v>625804.1100000001</v>
      </c>
      <c r="E41" s="177">
        <f>SUM(E33:E39)</f>
        <v>1203186.0500000003</v>
      </c>
      <c r="F41" s="179">
        <f>SUM(F33:F40)</f>
        <v>1552849.1199999999</v>
      </c>
      <c r="G41" s="228"/>
    </row>
    <row r="42" spans="2:8" ht="13.5" thickBot="1" x14ac:dyDescent="0.25">
      <c r="C42" s="25" t="s">
        <v>13</v>
      </c>
      <c r="D42" s="169">
        <f>D41</f>
        <v>625804.1100000001</v>
      </c>
      <c r="E42" s="178">
        <f>E41</f>
        <v>1203186.0500000003</v>
      </c>
      <c r="F42" s="176">
        <f>F41</f>
        <v>1552849.1199999999</v>
      </c>
      <c r="H42" s="213"/>
    </row>
    <row r="43" spans="2:8" x14ac:dyDescent="0.2">
      <c r="C43" s="103"/>
      <c r="D43" s="104"/>
      <c r="E43" s="105"/>
      <c r="F43" s="105"/>
    </row>
    <row r="44" spans="2:8" x14ac:dyDescent="0.2">
      <c r="C44" s="33" t="s">
        <v>28</v>
      </c>
      <c r="D44" s="42"/>
      <c r="E44" s="42">
        <f>D44</f>
        <v>0</v>
      </c>
      <c r="F44" s="9"/>
    </row>
    <row r="45" spans="2:8" x14ac:dyDescent="0.2">
      <c r="C45" s="3" t="s">
        <v>23</v>
      </c>
      <c r="D45" s="42">
        <f>D29-D41</f>
        <v>2640642.1399999997</v>
      </c>
      <c r="E45" s="42">
        <f>E23-E41+E27</f>
        <v>2063260.1999999997</v>
      </c>
      <c r="F45" s="42">
        <f>F29-F41</f>
        <v>2063260.2</v>
      </c>
      <c r="H45" s="145"/>
    </row>
    <row r="46" spans="2:8" ht="13.5" thickBot="1" x14ac:dyDescent="0.25">
      <c r="C46" s="3" t="s">
        <v>9</v>
      </c>
      <c r="D46" s="42"/>
      <c r="E46" s="42">
        <f t="shared" ref="E46" si="0">D46</f>
        <v>0</v>
      </c>
      <c r="F46" s="9"/>
    </row>
    <row r="47" spans="2:8" s="18" customFormat="1" ht="13.5" thickBot="1" x14ac:dyDescent="0.25">
      <c r="C47" s="25" t="s">
        <v>5</v>
      </c>
      <c r="D47" s="63">
        <f>SUM(D43:D46)</f>
        <v>2640642.1399999997</v>
      </c>
      <c r="E47" s="63">
        <f>E45</f>
        <v>2063260.1999999997</v>
      </c>
      <c r="F47" s="169">
        <f>F45</f>
        <v>2063260.2</v>
      </c>
    </row>
    <row r="48" spans="2:8" x14ac:dyDescent="0.2">
      <c r="C48" s="3"/>
      <c r="D48" s="5"/>
      <c r="E48" s="4"/>
      <c r="F48" s="9"/>
    </row>
    <row r="49" spans="3:6" x14ac:dyDescent="0.2">
      <c r="C49" s="15"/>
      <c r="D49" s="17"/>
      <c r="E49" s="17"/>
      <c r="F49" s="170"/>
    </row>
    <row r="50" spans="3:6" x14ac:dyDescent="0.2">
      <c r="C50" s="141" t="s">
        <v>50</v>
      </c>
      <c r="D50" s="140"/>
      <c r="E50" s="140"/>
      <c r="F50" s="140"/>
    </row>
    <row r="51" spans="3:6" x14ac:dyDescent="0.2">
      <c r="C51" s="136"/>
      <c r="D51" s="9"/>
      <c r="E51" s="9"/>
      <c r="F51" s="9"/>
    </row>
    <row r="52" spans="3:6" x14ac:dyDescent="0.2">
      <c r="C52" s="137" t="s">
        <v>88</v>
      </c>
      <c r="D52" s="42">
        <f>'Committed Fund by component'!C26</f>
        <v>673121.42</v>
      </c>
      <c r="E52" s="42">
        <f>'Committed Fund by component'!D26</f>
        <v>673121.42</v>
      </c>
      <c r="F52" s="42">
        <f>E52</f>
        <v>673121.42</v>
      </c>
    </row>
    <row r="53" spans="3:6" x14ac:dyDescent="0.2">
      <c r="C53" s="137" t="s">
        <v>119</v>
      </c>
      <c r="D53" s="42">
        <f>'Committed Fund by component'!C32</f>
        <v>745105.47</v>
      </c>
      <c r="E53" s="42">
        <f>'Committed Fund by component'!D32</f>
        <v>745105.47</v>
      </c>
      <c r="F53" s="42">
        <f>E53</f>
        <v>745105.47</v>
      </c>
    </row>
    <row r="54" spans="3:6" x14ac:dyDescent="0.2">
      <c r="C54" s="137"/>
      <c r="D54" s="42"/>
      <c r="E54" s="42"/>
      <c r="F54" s="42"/>
    </row>
    <row r="55" spans="3:6" x14ac:dyDescent="0.2">
      <c r="C55" s="137"/>
      <c r="D55" s="9"/>
      <c r="E55" s="9"/>
      <c r="F55" s="9"/>
    </row>
    <row r="56" spans="3:6" x14ac:dyDescent="0.2">
      <c r="C56" s="138" t="s">
        <v>49</v>
      </c>
      <c r="D56" s="73">
        <f>D52+D53</f>
        <v>1418226.8900000001</v>
      </c>
      <c r="E56" s="73">
        <f>E52+E53</f>
        <v>1418226.8900000001</v>
      </c>
      <c r="F56" s="73">
        <f>F52+F53</f>
        <v>1418226.8900000001</v>
      </c>
    </row>
    <row r="57" spans="3:6" x14ac:dyDescent="0.2">
      <c r="C57" s="180" t="s">
        <v>52</v>
      </c>
      <c r="D57" s="181">
        <f>D42+D56</f>
        <v>2044031.0000000002</v>
      </c>
      <c r="E57" s="181">
        <f>E42+E56</f>
        <v>2621412.9400000004</v>
      </c>
      <c r="F57" s="182">
        <f>F42+F56</f>
        <v>2971076.01</v>
      </c>
    </row>
    <row r="58" spans="3:6" x14ac:dyDescent="0.2">
      <c r="C58" s="139" t="s">
        <v>13</v>
      </c>
      <c r="D58" s="142">
        <f>D47-D56</f>
        <v>1222415.2499999995</v>
      </c>
      <c r="E58" s="142">
        <f>E47-E56</f>
        <v>645033.30999999959</v>
      </c>
      <c r="F58" s="171">
        <f>F47-F56</f>
        <v>645033.30999999982</v>
      </c>
    </row>
    <row r="61" spans="3:6" x14ac:dyDescent="0.2">
      <c r="F61" s="90"/>
    </row>
  </sheetData>
  <mergeCells count="5">
    <mergeCell ref="C6:E6"/>
    <mergeCell ref="C7:F7"/>
    <mergeCell ref="C8:F8"/>
    <mergeCell ref="C9:F9"/>
    <mergeCell ref="C10:F10"/>
  </mergeCells>
  <phoneticPr fontId="0" type="noConversion"/>
  <pageMargins left="0.57999999999999996" right="0.47" top="0.63" bottom="0.66" header="0.31" footer="0.38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93"/>
  <sheetViews>
    <sheetView zoomScaleNormal="100" workbookViewId="0">
      <selection activeCell="C82" sqref="C82"/>
    </sheetView>
  </sheetViews>
  <sheetFormatPr defaultRowHeight="12.75" x14ac:dyDescent="0.2"/>
  <cols>
    <col min="1" max="1" width="3.7109375" customWidth="1"/>
    <col min="2" max="2" width="96.140625" customWidth="1"/>
    <col min="3" max="3" width="13.140625" customWidth="1"/>
    <col min="4" max="4" width="12.85546875" bestFit="1" customWidth="1"/>
    <col min="5" max="5" width="13.28515625" customWidth="1"/>
    <col min="6" max="6" width="14.85546875" customWidth="1"/>
    <col min="7" max="7" width="10.85546875" bestFit="1" customWidth="1"/>
  </cols>
  <sheetData>
    <row r="3" spans="2:8" ht="15.75" x14ac:dyDescent="0.25">
      <c r="B3" s="31"/>
    </row>
    <row r="4" spans="2:8" ht="16.5" thickBot="1" x14ac:dyDescent="0.3">
      <c r="B4" s="30"/>
      <c r="C4" s="29"/>
      <c r="D4" s="29"/>
      <c r="E4" s="29"/>
      <c r="F4" s="29"/>
      <c r="G4" s="29"/>
      <c r="H4" s="29"/>
    </row>
    <row r="8" spans="2:8" x14ac:dyDescent="0.2">
      <c r="B8" s="243"/>
      <c r="C8" s="243"/>
      <c r="D8" s="243"/>
      <c r="E8" s="243"/>
      <c r="F8" s="243"/>
      <c r="G8" s="243"/>
    </row>
    <row r="9" spans="2:8" x14ac:dyDescent="0.2">
      <c r="B9" s="243" t="s">
        <v>112</v>
      </c>
      <c r="C9" s="243"/>
      <c r="D9" s="243"/>
      <c r="E9" s="243"/>
      <c r="F9" s="243"/>
      <c r="G9" s="243"/>
    </row>
    <row r="10" spans="2:8" ht="15" x14ac:dyDescent="0.25">
      <c r="B10" s="244" t="s">
        <v>25</v>
      </c>
      <c r="C10" s="244"/>
      <c r="D10" s="244"/>
      <c r="E10" s="244"/>
      <c r="F10" s="244"/>
      <c r="G10" s="244"/>
    </row>
    <row r="11" spans="2:8" x14ac:dyDescent="0.2">
      <c r="B11" s="243" t="s">
        <v>24</v>
      </c>
      <c r="C11" s="243"/>
      <c r="D11" s="243"/>
      <c r="E11" s="243"/>
      <c r="F11" s="243"/>
      <c r="G11" s="243"/>
    </row>
    <row r="12" spans="2:8" x14ac:dyDescent="0.2">
      <c r="B12" s="243" t="s">
        <v>137</v>
      </c>
      <c r="C12" s="243"/>
      <c r="D12" s="243"/>
      <c r="E12" s="243"/>
      <c r="F12" s="243"/>
      <c r="G12" s="243"/>
    </row>
    <row r="14" spans="2:8" x14ac:dyDescent="0.2">
      <c r="E14" t="s">
        <v>29</v>
      </c>
      <c r="G14" s="18"/>
    </row>
    <row r="16" spans="2:8" x14ac:dyDescent="0.2">
      <c r="B16" s="2"/>
      <c r="C16" s="2"/>
      <c r="D16" s="11"/>
      <c r="E16" s="12"/>
      <c r="F16" s="12"/>
      <c r="G16" s="12"/>
      <c r="H16" s="12"/>
    </row>
    <row r="17" spans="2:8" x14ac:dyDescent="0.2">
      <c r="B17" s="6"/>
      <c r="C17" s="240" t="s">
        <v>136</v>
      </c>
      <c r="D17" s="241"/>
      <c r="E17" s="242"/>
      <c r="F17" s="13"/>
      <c r="G17" s="13"/>
      <c r="H17" s="13"/>
    </row>
    <row r="18" spans="2:8" ht="12.75" customHeight="1" x14ac:dyDescent="0.2">
      <c r="B18" s="22" t="s">
        <v>1</v>
      </c>
      <c r="C18" s="240"/>
      <c r="D18" s="241"/>
      <c r="E18" s="242"/>
      <c r="F18" s="13" t="s">
        <v>16</v>
      </c>
      <c r="G18" s="13" t="s">
        <v>17</v>
      </c>
      <c r="H18" s="13" t="s">
        <v>11</v>
      </c>
    </row>
    <row r="19" spans="2:8" x14ac:dyDescent="0.2">
      <c r="B19" s="19"/>
      <c r="C19" s="240"/>
      <c r="D19" s="241"/>
      <c r="E19" s="242"/>
      <c r="F19" s="34" t="s">
        <v>8</v>
      </c>
      <c r="G19" s="34" t="s">
        <v>10</v>
      </c>
      <c r="H19" s="34" t="s">
        <v>12</v>
      </c>
    </row>
    <row r="20" spans="2:8" x14ac:dyDescent="0.2">
      <c r="B20" s="14"/>
      <c r="C20" s="14" t="s">
        <v>6</v>
      </c>
      <c r="D20" s="7" t="s">
        <v>7</v>
      </c>
      <c r="E20" s="8" t="s">
        <v>8</v>
      </c>
      <c r="F20" s="8"/>
      <c r="G20" s="8"/>
      <c r="H20" s="8"/>
    </row>
    <row r="21" spans="2:8" x14ac:dyDescent="0.2">
      <c r="B21" s="21" t="s">
        <v>32</v>
      </c>
      <c r="C21" s="42"/>
      <c r="D21" s="42"/>
      <c r="E21" s="42"/>
      <c r="F21" s="9"/>
      <c r="G21" s="10"/>
      <c r="H21" s="10"/>
    </row>
    <row r="22" spans="2:8" x14ac:dyDescent="0.2">
      <c r="B22" s="66" t="s">
        <v>99</v>
      </c>
      <c r="C22" s="44">
        <v>32584.91</v>
      </c>
      <c r="D22" s="90"/>
      <c r="E22" s="42"/>
      <c r="F22" s="9"/>
      <c r="G22" s="10"/>
      <c r="H22" s="10"/>
    </row>
    <row r="23" spans="2:8" x14ac:dyDescent="0.2">
      <c r="B23" s="77" t="s">
        <v>106</v>
      </c>
      <c r="C23" s="191">
        <v>160612.24</v>
      </c>
      <c r="D23" s="69"/>
      <c r="E23" s="42"/>
      <c r="F23" s="9"/>
      <c r="G23" s="10"/>
      <c r="H23" s="10"/>
    </row>
    <row r="24" spans="2:8" x14ac:dyDescent="0.2">
      <c r="B24" s="68" t="s">
        <v>107</v>
      </c>
      <c r="C24" s="44">
        <v>5750.02</v>
      </c>
      <c r="D24" s="42"/>
      <c r="E24" s="42"/>
      <c r="F24" s="9"/>
      <c r="G24" s="10"/>
      <c r="H24" s="10"/>
    </row>
    <row r="25" spans="2:8" x14ac:dyDescent="0.2">
      <c r="B25" s="70" t="s">
        <v>108</v>
      </c>
      <c r="C25" s="44">
        <v>28429.79</v>
      </c>
      <c r="D25" s="42"/>
      <c r="E25" s="42"/>
      <c r="F25" s="9"/>
      <c r="G25" s="10"/>
      <c r="H25" s="10"/>
    </row>
    <row r="26" spans="2:8" x14ac:dyDescent="0.2">
      <c r="B26" s="68" t="s">
        <v>100</v>
      </c>
      <c r="C26" s="44">
        <v>11370.02</v>
      </c>
      <c r="D26" s="42"/>
      <c r="E26" s="42"/>
      <c r="F26" s="9"/>
      <c r="G26" s="10"/>
      <c r="H26" s="10"/>
    </row>
    <row r="27" spans="2:8" x14ac:dyDescent="0.2">
      <c r="B27" s="68" t="s">
        <v>109</v>
      </c>
      <c r="C27" s="230">
        <v>2734.67</v>
      </c>
      <c r="D27" s="42"/>
      <c r="E27" s="42"/>
      <c r="F27" s="9"/>
      <c r="G27" s="10"/>
      <c r="H27" s="10"/>
    </row>
    <row r="28" spans="2:8" x14ac:dyDescent="0.2">
      <c r="B28" s="68"/>
      <c r="C28" s="44"/>
      <c r="D28" s="42"/>
      <c r="E28" s="42"/>
      <c r="F28" s="76"/>
      <c r="G28" s="76"/>
      <c r="H28" s="9"/>
    </row>
    <row r="29" spans="2:8" ht="13.5" thickBot="1" x14ac:dyDescent="0.25">
      <c r="B29" s="200"/>
      <c r="C29" s="47"/>
      <c r="D29" s="47"/>
      <c r="E29" s="47"/>
      <c r="F29" s="3"/>
      <c r="G29" s="3"/>
      <c r="H29" s="75"/>
    </row>
    <row r="30" spans="2:8" s="18" customFormat="1" ht="13.5" thickBot="1" x14ac:dyDescent="0.25">
      <c r="B30" s="201" t="s">
        <v>15</v>
      </c>
      <c r="C30" s="199">
        <f>SUM(C22:C29)</f>
        <v>241481.65</v>
      </c>
      <c r="D30" s="53">
        <f>SUM(D22:D29)</f>
        <v>0</v>
      </c>
      <c r="E30" s="53">
        <f>SUM(E22:E26)</f>
        <v>0</v>
      </c>
      <c r="F30" s="64"/>
      <c r="G30" s="65"/>
      <c r="H30" s="65"/>
    </row>
    <row r="31" spans="2:8" x14ac:dyDescent="0.2">
      <c r="B31" s="15"/>
      <c r="C31" s="52"/>
      <c r="D31" s="52"/>
      <c r="E31" s="52"/>
      <c r="F31" s="16"/>
      <c r="G31" s="16"/>
      <c r="H31" s="16"/>
    </row>
    <row r="32" spans="2:8" x14ac:dyDescent="0.2">
      <c r="B32" s="21" t="s">
        <v>33</v>
      </c>
      <c r="C32" s="42"/>
      <c r="D32" s="42"/>
      <c r="E32" s="42"/>
      <c r="F32" s="9"/>
      <c r="G32" s="9"/>
      <c r="H32" s="9"/>
    </row>
    <row r="33" spans="2:8" x14ac:dyDescent="0.2">
      <c r="B33" s="196" t="s">
        <v>101</v>
      </c>
      <c r="C33" s="224">
        <v>330.03</v>
      </c>
      <c r="D33" s="42"/>
      <c r="E33" s="42"/>
      <c r="F33" s="9"/>
      <c r="G33" s="9"/>
      <c r="H33" s="9"/>
    </row>
    <row r="34" spans="2:8" x14ac:dyDescent="0.2">
      <c r="B34" s="66" t="s">
        <v>132</v>
      </c>
      <c r="C34" s="44">
        <v>298115.5</v>
      </c>
      <c r="D34" s="42"/>
      <c r="E34" s="42"/>
      <c r="F34" s="9"/>
      <c r="G34" s="9"/>
      <c r="H34" s="9"/>
    </row>
    <row r="35" spans="2:8" x14ac:dyDescent="0.2">
      <c r="B35" s="66" t="s">
        <v>133</v>
      </c>
      <c r="C35" s="203">
        <v>712.34</v>
      </c>
      <c r="D35" s="49"/>
      <c r="E35" s="42"/>
      <c r="F35" s="66"/>
      <c r="G35" s="9"/>
      <c r="H35" s="9"/>
    </row>
    <row r="36" spans="2:8" x14ac:dyDescent="0.2">
      <c r="B36" s="9"/>
      <c r="C36" s="49"/>
      <c r="D36" s="54"/>
      <c r="E36" s="42"/>
      <c r="F36" s="9"/>
      <c r="G36" s="9"/>
      <c r="H36" s="9"/>
    </row>
    <row r="37" spans="2:8" ht="13.5" thickBot="1" x14ac:dyDescent="0.25">
      <c r="B37" s="79" t="s">
        <v>15</v>
      </c>
      <c r="C37" s="217">
        <f>SUM(C33:C36)</f>
        <v>299157.87000000005</v>
      </c>
      <c r="D37" s="218">
        <f>SUM(D33:D36)</f>
        <v>0</v>
      </c>
      <c r="E37" s="218">
        <f>SUM(E33:E34)</f>
        <v>0</v>
      </c>
      <c r="F37" s="172"/>
      <c r="G37" s="172"/>
      <c r="H37" s="172"/>
    </row>
    <row r="38" spans="2:8" ht="13.5" thickBot="1" x14ac:dyDescent="0.25">
      <c r="B38" s="26"/>
      <c r="C38" s="220"/>
      <c r="D38" s="221"/>
      <c r="E38" s="221"/>
      <c r="F38" s="222"/>
      <c r="G38" s="222"/>
      <c r="H38" s="223"/>
    </row>
    <row r="39" spans="2:8" x14ac:dyDescent="0.2">
      <c r="B39" s="21" t="s">
        <v>120</v>
      </c>
      <c r="C39" s="55"/>
      <c r="D39" s="56"/>
      <c r="E39" s="56"/>
      <c r="F39" s="219"/>
      <c r="G39" s="219"/>
      <c r="H39" s="219"/>
    </row>
    <row r="40" spans="2:8" x14ac:dyDescent="0.2">
      <c r="B40" s="68" t="s">
        <v>128</v>
      </c>
      <c r="C40" s="225"/>
      <c r="D40" s="69"/>
      <c r="E40" s="44"/>
      <c r="F40" s="43"/>
      <c r="G40" s="43"/>
      <c r="H40" s="43"/>
    </row>
    <row r="41" spans="2:8" x14ac:dyDescent="0.2">
      <c r="B41" s="66"/>
      <c r="C41" s="57"/>
      <c r="D41" s="57"/>
      <c r="E41" s="44"/>
      <c r="F41" s="43"/>
      <c r="G41" s="43"/>
      <c r="H41" s="43"/>
    </row>
    <row r="42" spans="2:8" x14ac:dyDescent="0.2">
      <c r="B42" s="66"/>
      <c r="C42" s="57"/>
      <c r="D42" s="57"/>
      <c r="E42" s="44"/>
      <c r="F42" s="43"/>
      <c r="G42" s="43"/>
      <c r="H42" s="43"/>
    </row>
    <row r="43" spans="2:8" x14ac:dyDescent="0.2">
      <c r="B43" s="84"/>
      <c r="C43" s="202"/>
      <c r="D43" s="202"/>
      <c r="E43" s="203"/>
      <c r="F43" s="204"/>
      <c r="G43" s="204"/>
      <c r="H43" s="204"/>
    </row>
    <row r="44" spans="2:8" ht="13.5" thickBot="1" x14ac:dyDescent="0.25">
      <c r="B44" s="79" t="s">
        <v>15</v>
      </c>
      <c r="C44" s="205">
        <f>SUM(C40:C43)</f>
        <v>0</v>
      </c>
      <c r="D44" s="205">
        <f>SUM(D40:D43)</f>
        <v>0</v>
      </c>
      <c r="E44" s="205">
        <f>SUM(E40:E41)</f>
        <v>0</v>
      </c>
      <c r="F44" s="172"/>
      <c r="G44" s="172"/>
      <c r="H44" s="172"/>
    </row>
    <row r="45" spans="2:8" ht="13.5" thickBot="1" x14ac:dyDescent="0.25">
      <c r="B45" s="26"/>
      <c r="C45" s="207"/>
      <c r="D45" s="208"/>
      <c r="E45" s="208"/>
      <c r="F45" s="209"/>
      <c r="G45" s="209"/>
      <c r="H45" s="210"/>
    </row>
    <row r="46" spans="2:8" x14ac:dyDescent="0.2">
      <c r="B46" s="21" t="s">
        <v>34</v>
      </c>
      <c r="C46" s="206"/>
      <c r="D46" s="206"/>
      <c r="E46" s="206"/>
      <c r="F46" s="10"/>
      <c r="G46" s="10"/>
      <c r="H46" s="10"/>
    </row>
    <row r="47" spans="2:8" x14ac:dyDescent="0.2">
      <c r="B47" s="66" t="s">
        <v>102</v>
      </c>
      <c r="C47" s="78">
        <v>8634.14</v>
      </c>
      <c r="D47" s="61"/>
      <c r="E47" s="61"/>
      <c r="F47" s="9"/>
      <c r="G47" s="9"/>
      <c r="H47" s="9"/>
    </row>
    <row r="48" spans="2:8" x14ac:dyDescent="0.2">
      <c r="B48" s="190"/>
      <c r="C48" s="191"/>
      <c r="D48" s="61"/>
      <c r="E48" s="61"/>
      <c r="F48" s="9"/>
      <c r="G48" s="9"/>
      <c r="H48" s="9"/>
    </row>
    <row r="49" spans="2:8" x14ac:dyDescent="0.2">
      <c r="B49" s="71"/>
      <c r="C49" s="78"/>
      <c r="D49" s="61"/>
      <c r="E49" s="61"/>
      <c r="F49" s="9"/>
      <c r="G49" s="9"/>
      <c r="H49" s="9"/>
    </row>
    <row r="50" spans="2:8" ht="13.5" thickBot="1" x14ac:dyDescent="0.25">
      <c r="B50" s="74"/>
      <c r="C50" s="61"/>
      <c r="D50" s="61"/>
      <c r="E50" s="61"/>
      <c r="F50" s="9"/>
      <c r="G50" s="9"/>
      <c r="H50" s="9"/>
    </row>
    <row r="51" spans="2:8" ht="13.5" thickBot="1" x14ac:dyDescent="0.25">
      <c r="B51" s="79" t="s">
        <v>15</v>
      </c>
      <c r="C51" s="83">
        <f>SUM(C47:C49)</f>
        <v>8634.14</v>
      </c>
      <c r="D51" s="83">
        <f>SUM(D47:D50)</f>
        <v>0</v>
      </c>
      <c r="E51" s="83">
        <f>SUM(E47:E49)</f>
        <v>0</v>
      </c>
      <c r="F51" s="27"/>
      <c r="G51" s="24"/>
      <c r="H51" s="24"/>
    </row>
    <row r="52" spans="2:8" x14ac:dyDescent="0.2">
      <c r="B52" s="26"/>
      <c r="C52" s="59"/>
      <c r="D52" s="59"/>
      <c r="E52" s="59"/>
      <c r="F52" s="26"/>
      <c r="G52" s="26"/>
      <c r="H52" s="26"/>
    </row>
    <row r="53" spans="2:8" x14ac:dyDescent="0.2">
      <c r="B53" s="21" t="s">
        <v>91</v>
      </c>
      <c r="C53" s="60"/>
      <c r="D53" s="60"/>
      <c r="E53" s="60"/>
      <c r="F53" s="9"/>
      <c r="G53" s="9"/>
      <c r="H53" s="10"/>
    </row>
    <row r="54" spans="2:8" x14ac:dyDescent="0.2">
      <c r="B54" s="196" t="s">
        <v>103</v>
      </c>
      <c r="C54" s="78">
        <v>7096.03</v>
      </c>
      <c r="D54" s="60"/>
      <c r="E54" s="60"/>
      <c r="F54" s="9"/>
      <c r="G54" s="9"/>
      <c r="H54" s="10"/>
    </row>
    <row r="55" spans="2:8" x14ac:dyDescent="0.2">
      <c r="B55" s="196" t="s">
        <v>139</v>
      </c>
      <c r="C55" s="78">
        <v>2023.24</v>
      </c>
      <c r="D55" s="78"/>
      <c r="E55" s="60"/>
      <c r="F55" s="9"/>
      <c r="G55" s="9"/>
      <c r="H55" s="10"/>
    </row>
    <row r="56" spans="2:8" x14ac:dyDescent="0.2">
      <c r="B56" s="196"/>
      <c r="C56" s="78"/>
      <c r="D56" s="78"/>
      <c r="E56" s="60"/>
      <c r="F56" s="9"/>
      <c r="G56" s="9"/>
      <c r="H56" s="10"/>
    </row>
    <row r="57" spans="2:8" x14ac:dyDescent="0.2">
      <c r="B57" s="196"/>
      <c r="C57" s="78"/>
      <c r="D57" s="42"/>
      <c r="E57" s="60"/>
      <c r="F57" s="9"/>
      <c r="G57" s="9"/>
      <c r="H57" s="10"/>
    </row>
    <row r="58" spans="2:8" x14ac:dyDescent="0.2">
      <c r="B58" s="74"/>
      <c r="C58" s="205"/>
      <c r="D58" s="205"/>
      <c r="E58" s="205"/>
      <c r="F58" s="172"/>
      <c r="G58" s="172"/>
      <c r="H58" s="215"/>
    </row>
    <row r="59" spans="2:8" ht="13.5" thickBot="1" x14ac:dyDescent="0.25">
      <c r="B59" s="79" t="s">
        <v>15</v>
      </c>
      <c r="C59" s="205">
        <f>SUM(C54:C58)</f>
        <v>9119.27</v>
      </c>
      <c r="D59" s="205">
        <f>SUM(D55:D58)</f>
        <v>0</v>
      </c>
      <c r="E59" s="205">
        <f>SUM(E55)</f>
        <v>0</v>
      </c>
      <c r="F59" s="172"/>
      <c r="G59" s="172"/>
      <c r="H59" s="172"/>
    </row>
    <row r="60" spans="2:8" ht="13.5" thickBot="1" x14ac:dyDescent="0.25">
      <c r="B60" s="26"/>
      <c r="C60" s="207"/>
      <c r="D60" s="208"/>
      <c r="E60" s="208"/>
      <c r="F60" s="209"/>
      <c r="G60" s="209"/>
      <c r="H60" s="210"/>
    </row>
    <row r="61" spans="2:8" x14ac:dyDescent="0.2">
      <c r="B61" s="21" t="s">
        <v>122</v>
      </c>
      <c r="C61" s="206"/>
      <c r="D61" s="206"/>
      <c r="E61" s="206"/>
      <c r="F61" s="10"/>
      <c r="G61" s="10"/>
      <c r="H61" s="10"/>
    </row>
    <row r="62" spans="2:8" x14ac:dyDescent="0.2">
      <c r="B62" s="68" t="s">
        <v>121</v>
      </c>
      <c r="C62" s="191">
        <v>1280.1500000000001</v>
      </c>
      <c r="D62" s="78"/>
      <c r="E62" s="60"/>
      <c r="F62" s="9"/>
      <c r="G62" s="9"/>
      <c r="H62" s="10"/>
    </row>
    <row r="63" spans="2:8" x14ac:dyDescent="0.2">
      <c r="B63" s="68" t="s">
        <v>123</v>
      </c>
      <c r="C63" s="44">
        <v>5278.36</v>
      </c>
      <c r="D63" s="78"/>
      <c r="E63" s="60"/>
      <c r="F63" s="9"/>
      <c r="G63" s="9"/>
      <c r="H63" s="10"/>
    </row>
    <row r="64" spans="2:8" x14ac:dyDescent="0.2">
      <c r="B64" s="68" t="s">
        <v>124</v>
      </c>
      <c r="C64" s="191">
        <v>13231.54</v>
      </c>
      <c r="D64" s="78"/>
      <c r="E64" s="60"/>
      <c r="F64" s="9"/>
      <c r="G64" s="9"/>
      <c r="H64" s="10"/>
    </row>
    <row r="65" spans="2:8" x14ac:dyDescent="0.2">
      <c r="B65" s="68" t="s">
        <v>125</v>
      </c>
      <c r="C65" s="191">
        <v>2597.75</v>
      </c>
      <c r="D65" s="78"/>
      <c r="E65" s="60"/>
      <c r="F65" s="9"/>
      <c r="G65" s="9"/>
      <c r="H65" s="10"/>
    </row>
    <row r="66" spans="2:8" x14ac:dyDescent="0.2">
      <c r="B66" s="68" t="s">
        <v>138</v>
      </c>
      <c r="C66" s="191">
        <v>3276.76</v>
      </c>
      <c r="D66" s="78"/>
      <c r="E66" s="60"/>
      <c r="F66" s="9"/>
      <c r="G66" s="9"/>
      <c r="H66" s="10"/>
    </row>
    <row r="67" spans="2:8" x14ac:dyDescent="0.2">
      <c r="B67" s="68" t="s">
        <v>126</v>
      </c>
      <c r="C67" s="191">
        <v>918.5</v>
      </c>
      <c r="D67" s="78"/>
      <c r="E67" s="60"/>
      <c r="F67" s="9"/>
      <c r="G67" s="9"/>
      <c r="H67" s="10"/>
    </row>
    <row r="68" spans="2:8" x14ac:dyDescent="0.2">
      <c r="B68" s="68" t="s">
        <v>127</v>
      </c>
      <c r="C68" s="191">
        <v>24220.97</v>
      </c>
      <c r="D68" s="78"/>
      <c r="E68" s="60"/>
      <c r="F68" s="9"/>
      <c r="G68" s="9"/>
      <c r="H68" s="10"/>
    </row>
    <row r="69" spans="2:8" x14ac:dyDescent="0.2">
      <c r="B69" s="68" t="s">
        <v>140</v>
      </c>
      <c r="C69" s="191">
        <v>4983.1499999999996</v>
      </c>
      <c r="D69" s="78"/>
      <c r="E69" s="60"/>
      <c r="F69" s="9"/>
      <c r="G69" s="9"/>
      <c r="H69" s="10"/>
    </row>
    <row r="70" spans="2:8" x14ac:dyDescent="0.2">
      <c r="B70" s="68" t="s">
        <v>134</v>
      </c>
      <c r="C70" s="191">
        <v>7954.9699999999984</v>
      </c>
      <c r="D70" s="78"/>
      <c r="E70" s="60"/>
      <c r="F70" s="9"/>
      <c r="G70" s="9"/>
      <c r="H70" s="10"/>
    </row>
    <row r="71" spans="2:8" x14ac:dyDescent="0.2">
      <c r="B71" s="68"/>
      <c r="C71" s="191"/>
      <c r="D71" s="78"/>
      <c r="E71" s="60"/>
      <c r="F71" s="9"/>
      <c r="G71" s="9"/>
      <c r="H71" s="10"/>
    </row>
    <row r="72" spans="2:8" x14ac:dyDescent="0.2">
      <c r="B72" s="82"/>
      <c r="C72" s="205"/>
      <c r="D72" s="214"/>
      <c r="E72" s="205"/>
      <c r="F72" s="172"/>
      <c r="G72" s="172"/>
      <c r="H72" s="172"/>
    </row>
    <row r="73" spans="2:8" ht="13.5" thickBot="1" x14ac:dyDescent="0.25">
      <c r="B73" s="79" t="s">
        <v>15</v>
      </c>
      <c r="C73" s="205">
        <f>SUM(C62:C72)</f>
        <v>63742.150000000009</v>
      </c>
      <c r="D73" s="205">
        <f>SUM(D62:D72)</f>
        <v>0</v>
      </c>
      <c r="E73" s="205">
        <f>SUM(E62:E72)</f>
        <v>0</v>
      </c>
      <c r="F73" s="172"/>
      <c r="G73" s="172"/>
      <c r="H73" s="172"/>
    </row>
    <row r="74" spans="2:8" ht="13.5" thickBot="1" x14ac:dyDescent="0.25">
      <c r="B74" s="26"/>
      <c r="C74" s="207"/>
      <c r="D74" s="208"/>
      <c r="E74" s="208"/>
      <c r="F74" s="209"/>
      <c r="G74" s="209"/>
      <c r="H74" s="210"/>
    </row>
    <row r="75" spans="2:8" x14ac:dyDescent="0.2">
      <c r="B75" s="197" t="s">
        <v>35</v>
      </c>
      <c r="C75" s="206"/>
      <c r="D75" s="216"/>
      <c r="E75" s="206"/>
      <c r="F75" s="10"/>
      <c r="G75" s="10"/>
      <c r="H75" s="10"/>
    </row>
    <row r="76" spans="2:8" x14ac:dyDescent="0.2">
      <c r="B76" s="198" t="s">
        <v>104</v>
      </c>
      <c r="C76" s="135">
        <v>1178.54</v>
      </c>
      <c r="D76" s="78"/>
      <c r="E76" s="167"/>
      <c r="F76" s="9"/>
      <c r="G76" s="9"/>
      <c r="H76" s="10"/>
    </row>
    <row r="77" spans="2:8" x14ac:dyDescent="0.2">
      <c r="B77" s="66" t="s">
        <v>105</v>
      </c>
      <c r="C77" s="135">
        <f>680.58+1809.91</f>
        <v>2490.4900000000002</v>
      </c>
      <c r="D77" s="135"/>
      <c r="E77" s="167"/>
      <c r="F77" s="66"/>
      <c r="G77" s="66"/>
      <c r="H77" s="9"/>
    </row>
    <row r="78" spans="2:8" x14ac:dyDescent="0.2">
      <c r="B78" s="66"/>
      <c r="C78" s="78"/>
      <c r="D78" s="78"/>
      <c r="E78" s="167"/>
      <c r="F78" s="66"/>
      <c r="G78" s="66"/>
      <c r="H78" s="9"/>
    </row>
    <row r="79" spans="2:8" x14ac:dyDescent="0.2">
      <c r="B79" s="68"/>
      <c r="C79" s="135"/>
      <c r="D79" s="135"/>
      <c r="E79" s="167"/>
      <c r="F79" s="66"/>
      <c r="G79" s="66"/>
      <c r="H79" s="9"/>
    </row>
    <row r="80" spans="2:8" x14ac:dyDescent="0.2">
      <c r="B80" s="66"/>
      <c r="C80" s="78"/>
      <c r="D80" s="78"/>
      <c r="E80" s="145"/>
      <c r="F80" s="66"/>
      <c r="G80" s="66"/>
      <c r="H80" s="9"/>
    </row>
    <row r="81" spans="2:8" x14ac:dyDescent="0.2">
      <c r="B81" s="82"/>
      <c r="C81" s="78"/>
      <c r="D81" s="78"/>
      <c r="E81" s="78"/>
      <c r="F81" s="66"/>
      <c r="G81" s="66"/>
      <c r="H81" s="9"/>
    </row>
    <row r="82" spans="2:8" ht="13.5" thickBot="1" x14ac:dyDescent="0.25">
      <c r="B82" s="79" t="s">
        <v>15</v>
      </c>
      <c r="C82" s="80">
        <f>SUM(C76:C80)</f>
        <v>3669.03</v>
      </c>
      <c r="D82" s="80">
        <f>SUM(D76:D80)</f>
        <v>0</v>
      </c>
      <c r="E82" s="80">
        <f>SUM(E77:E80)</f>
        <v>0</v>
      </c>
      <c r="F82" s="75"/>
      <c r="G82" s="75"/>
      <c r="H82" s="81"/>
    </row>
    <row r="83" spans="2:8" x14ac:dyDescent="0.2">
      <c r="B83" s="26"/>
      <c r="C83" s="59"/>
      <c r="D83" s="59"/>
      <c r="E83" s="59"/>
      <c r="F83" s="26"/>
      <c r="G83" s="26"/>
      <c r="H83" s="26"/>
    </row>
    <row r="84" spans="2:8" x14ac:dyDescent="0.2">
      <c r="B84" s="197"/>
      <c r="C84" s="60"/>
      <c r="D84" s="61"/>
      <c r="E84" s="60"/>
      <c r="F84" s="9"/>
      <c r="G84" s="9"/>
      <c r="H84" s="9"/>
    </row>
    <row r="85" spans="2:8" x14ac:dyDescent="0.2">
      <c r="B85" s="82"/>
      <c r="C85" s="60"/>
      <c r="D85" s="61">
        <v>0</v>
      </c>
      <c r="E85" s="60">
        <f>D85-C85</f>
        <v>0</v>
      </c>
      <c r="F85" s="9"/>
      <c r="G85" s="9"/>
      <c r="H85" s="9"/>
    </row>
    <row r="86" spans="2:8" x14ac:dyDescent="0.2">
      <c r="B86" s="82"/>
      <c r="C86" s="60"/>
      <c r="D86" s="61">
        <v>0</v>
      </c>
      <c r="E86" s="60">
        <f>D86-C86</f>
        <v>0</v>
      </c>
      <c r="F86" s="9"/>
      <c r="G86" s="9"/>
      <c r="H86" s="9"/>
    </row>
    <row r="87" spans="2:8" ht="13.5" thickBot="1" x14ac:dyDescent="0.25">
      <c r="B87" s="33"/>
      <c r="C87" s="60"/>
      <c r="D87" s="61"/>
      <c r="E87" s="60"/>
      <c r="F87" s="9"/>
      <c r="G87" s="9"/>
      <c r="H87" s="9"/>
    </row>
    <row r="88" spans="2:8" ht="13.5" thickBot="1" x14ac:dyDescent="0.25">
      <c r="B88" s="25" t="s">
        <v>15</v>
      </c>
      <c r="C88" s="58">
        <f>SUM(C85:C86)</f>
        <v>0</v>
      </c>
      <c r="D88" s="58">
        <f t="shared" ref="D88:E88" si="0">SUM(D85:D86)</f>
        <v>0</v>
      </c>
      <c r="E88" s="58">
        <f t="shared" si="0"/>
        <v>0</v>
      </c>
      <c r="F88" s="23"/>
      <c r="G88" s="23"/>
      <c r="H88" s="24"/>
    </row>
    <row r="89" spans="2:8" x14ac:dyDescent="0.2">
      <c r="B89" s="26"/>
      <c r="C89" s="59"/>
      <c r="D89" s="59"/>
      <c r="E89" s="59"/>
      <c r="F89" s="26"/>
      <c r="G89" s="26"/>
      <c r="H89" s="26"/>
    </row>
    <row r="90" spans="2:8" x14ac:dyDescent="0.2">
      <c r="B90" s="74"/>
      <c r="C90" s="60"/>
      <c r="D90" s="60"/>
      <c r="E90" s="60"/>
      <c r="F90" s="9"/>
      <c r="G90" s="9"/>
      <c r="H90" s="9"/>
    </row>
    <row r="91" spans="2:8" x14ac:dyDescent="0.2">
      <c r="B91" s="74" t="s">
        <v>30</v>
      </c>
      <c r="C91" s="229"/>
      <c r="D91" s="60"/>
      <c r="E91" s="60"/>
      <c r="F91" s="9"/>
      <c r="G91" s="9"/>
      <c r="H91" s="9"/>
    </row>
    <row r="92" spans="2:8" ht="13.5" thickBot="1" x14ac:dyDescent="0.25">
      <c r="B92" s="45"/>
      <c r="C92" s="205"/>
      <c r="D92" s="205"/>
      <c r="E92" s="205"/>
      <c r="F92" s="172"/>
      <c r="G92" s="172"/>
      <c r="H92" s="172"/>
    </row>
    <row r="93" spans="2:8" s="18" customFormat="1" ht="13.5" thickBot="1" x14ac:dyDescent="0.25">
      <c r="B93" s="46" t="s">
        <v>26</v>
      </c>
      <c r="C93" s="226">
        <f>C30+C37+C44+C51+C59+C73+C82+C91</f>
        <v>625804.1100000001</v>
      </c>
      <c r="D93" s="63">
        <f>D30+D37+D44+D51+D59+D73+D82+D88+D91</f>
        <v>0</v>
      </c>
      <c r="E93" s="63">
        <v>0</v>
      </c>
      <c r="F93" s="64"/>
      <c r="G93" s="65"/>
      <c r="H93" s="65"/>
    </row>
  </sheetData>
  <mergeCells count="6">
    <mergeCell ref="C17:E19"/>
    <mergeCell ref="B8:G8"/>
    <mergeCell ref="B9:G9"/>
    <mergeCell ref="B11:G11"/>
    <mergeCell ref="B12:G12"/>
    <mergeCell ref="B10:G10"/>
  </mergeCells>
  <phoneticPr fontId="0" type="noConversion"/>
  <pageMargins left="0" right="0" top="0.43" bottom="0.36" header="0.21" footer="0.18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9"/>
  <sheetViews>
    <sheetView topLeftCell="A22" zoomScale="85" zoomScaleNormal="85" workbookViewId="0">
      <selection activeCell="C29" sqref="C29"/>
    </sheetView>
  </sheetViews>
  <sheetFormatPr defaultRowHeight="12.75" x14ac:dyDescent="0.2"/>
  <cols>
    <col min="1" max="1" width="9.140625" style="107"/>
    <col min="2" max="2" width="57.5703125" style="107" customWidth="1"/>
    <col min="3" max="3" width="15.28515625" style="107" bestFit="1" customWidth="1"/>
    <col min="4" max="4" width="12.85546875" style="107" bestFit="1" customWidth="1"/>
    <col min="5" max="5" width="15.5703125" style="107" customWidth="1"/>
    <col min="6" max="6" width="10.42578125" style="107" customWidth="1"/>
    <col min="7" max="7" width="11.5703125" style="107" customWidth="1"/>
    <col min="8" max="8" width="9.140625" style="107"/>
    <col min="9" max="9" width="14.85546875" style="107" customWidth="1"/>
    <col min="10" max="10" width="10.85546875" style="107" bestFit="1" customWidth="1"/>
    <col min="11" max="16384" width="9.140625" style="107"/>
  </cols>
  <sheetData>
    <row r="3" spans="2:11" ht="15.75" x14ac:dyDescent="0.25">
      <c r="B3" s="106"/>
    </row>
    <row r="4" spans="2:11" ht="16.5" thickBot="1" x14ac:dyDescent="0.3">
      <c r="B4" s="108"/>
      <c r="C4" s="109"/>
      <c r="D4" s="109"/>
      <c r="E4" s="109"/>
      <c r="F4" s="109"/>
      <c r="G4" s="109"/>
      <c r="H4" s="109"/>
      <c r="I4" s="109"/>
      <c r="J4" s="109"/>
      <c r="K4" s="109"/>
    </row>
    <row r="8" spans="2:11" x14ac:dyDescent="0.2">
      <c r="B8" s="249"/>
      <c r="C8" s="249"/>
      <c r="D8" s="249"/>
      <c r="E8" s="249"/>
      <c r="F8" s="249"/>
      <c r="G8" s="249"/>
      <c r="H8" s="249"/>
      <c r="I8" s="249"/>
      <c r="J8" s="249"/>
    </row>
    <row r="9" spans="2:11" x14ac:dyDescent="0.2">
      <c r="B9" s="249" t="s">
        <v>112</v>
      </c>
      <c r="C9" s="249"/>
      <c r="D9" s="249"/>
      <c r="E9" s="249"/>
      <c r="F9" s="249"/>
      <c r="G9" s="249"/>
      <c r="H9" s="249"/>
      <c r="I9" s="249"/>
      <c r="J9" s="249"/>
    </row>
    <row r="10" spans="2:11" ht="15" x14ac:dyDescent="0.25">
      <c r="B10" s="250" t="s">
        <v>25</v>
      </c>
      <c r="C10" s="250"/>
      <c r="D10" s="250"/>
      <c r="E10" s="250"/>
      <c r="F10" s="250"/>
      <c r="G10" s="250"/>
      <c r="H10" s="250"/>
      <c r="I10" s="250"/>
      <c r="J10" s="250"/>
    </row>
    <row r="11" spans="2:11" x14ac:dyDescent="0.2">
      <c r="B11" s="249" t="s">
        <v>24</v>
      </c>
      <c r="C11" s="249"/>
      <c r="D11" s="249"/>
      <c r="E11" s="249"/>
      <c r="F11" s="249"/>
      <c r="G11" s="249"/>
      <c r="H11" s="249"/>
      <c r="I11" s="249"/>
      <c r="J11" s="249"/>
    </row>
    <row r="12" spans="2:11" x14ac:dyDescent="0.2">
      <c r="B12" s="249" t="s">
        <v>113</v>
      </c>
      <c r="C12" s="249"/>
      <c r="D12" s="249"/>
      <c r="E12" s="249"/>
      <c r="F12" s="249"/>
      <c r="G12" s="249"/>
      <c r="H12" s="249"/>
      <c r="I12" s="249"/>
      <c r="J12" s="249"/>
    </row>
    <row r="14" spans="2:11" x14ac:dyDescent="0.2">
      <c r="F14" s="110" t="s">
        <v>29</v>
      </c>
      <c r="J14" s="111"/>
    </row>
    <row r="16" spans="2:11" x14ac:dyDescent="0.2">
      <c r="B16" s="112"/>
      <c r="C16" s="112"/>
      <c r="D16" s="113"/>
      <c r="E16" s="114"/>
      <c r="F16" s="112"/>
      <c r="G16" s="113"/>
      <c r="H16" s="114"/>
      <c r="I16" s="114"/>
      <c r="J16" s="114"/>
      <c r="K16" s="114"/>
    </row>
    <row r="17" spans="2:11" x14ac:dyDescent="0.2">
      <c r="B17" s="115"/>
      <c r="C17" s="248"/>
      <c r="D17" s="246"/>
      <c r="E17" s="247"/>
      <c r="F17" s="248"/>
      <c r="G17" s="246"/>
      <c r="H17" s="247"/>
      <c r="I17" s="116"/>
      <c r="J17" s="116"/>
      <c r="K17" s="116"/>
    </row>
    <row r="18" spans="2:11" x14ac:dyDescent="0.2">
      <c r="B18" s="117" t="s">
        <v>1</v>
      </c>
      <c r="C18" s="245" t="s">
        <v>130</v>
      </c>
      <c r="D18" s="246"/>
      <c r="E18" s="247"/>
      <c r="F18" s="248" t="s">
        <v>19</v>
      </c>
      <c r="G18" s="246"/>
      <c r="H18" s="247"/>
      <c r="I18" s="116" t="s">
        <v>16</v>
      </c>
      <c r="J18" s="116" t="s">
        <v>17</v>
      </c>
      <c r="K18" s="116" t="s">
        <v>11</v>
      </c>
    </row>
    <row r="19" spans="2:11" x14ac:dyDescent="0.2">
      <c r="B19" s="118"/>
      <c r="C19" s="118"/>
      <c r="D19" s="119"/>
      <c r="E19" s="120"/>
      <c r="F19" s="121"/>
      <c r="G19" s="122" t="s">
        <v>18</v>
      </c>
      <c r="H19" s="120"/>
      <c r="I19" s="123" t="s">
        <v>8</v>
      </c>
      <c r="J19" s="123" t="s">
        <v>10</v>
      </c>
      <c r="K19" s="123" t="s">
        <v>12</v>
      </c>
    </row>
    <row r="20" spans="2:11" x14ac:dyDescent="0.2">
      <c r="B20" s="124"/>
      <c r="C20" s="124" t="s">
        <v>6</v>
      </c>
      <c r="D20" s="125" t="s">
        <v>7</v>
      </c>
      <c r="E20" s="126" t="s">
        <v>8</v>
      </c>
      <c r="F20" s="124" t="s">
        <v>6</v>
      </c>
      <c r="G20" s="125" t="s">
        <v>7</v>
      </c>
      <c r="H20" s="126" t="s">
        <v>8</v>
      </c>
      <c r="I20" s="126"/>
      <c r="J20" s="126"/>
      <c r="K20" s="126"/>
    </row>
    <row r="21" spans="2:11" x14ac:dyDescent="0.2">
      <c r="B21" s="21" t="s">
        <v>89</v>
      </c>
      <c r="C21" s="88"/>
      <c r="D21" s="88"/>
      <c r="E21" s="88"/>
      <c r="F21" s="88"/>
      <c r="G21" s="88"/>
      <c r="H21" s="88"/>
      <c r="I21" s="128"/>
      <c r="J21" s="128"/>
      <c r="K21" s="128"/>
    </row>
    <row r="22" spans="2:11" x14ac:dyDescent="0.2">
      <c r="B22" s="129" t="s">
        <v>53</v>
      </c>
      <c r="C22" s="88">
        <f>784151.79-160612.24</f>
        <v>623539.55000000005</v>
      </c>
      <c r="D22" s="88">
        <f>784151.79-160612.24</f>
        <v>623539.55000000005</v>
      </c>
      <c r="E22" s="88"/>
      <c r="F22" s="88"/>
      <c r="G22" s="130"/>
      <c r="H22" s="88"/>
      <c r="I22" s="128"/>
      <c r="J22" s="128"/>
      <c r="K22" s="128"/>
    </row>
    <row r="23" spans="2:11" x14ac:dyDescent="0.2">
      <c r="B23" s="129" t="s">
        <v>117</v>
      </c>
      <c r="C23" s="88">
        <v>7600</v>
      </c>
      <c r="D23" s="88">
        <v>7600</v>
      </c>
      <c r="E23" s="88"/>
      <c r="F23" s="88"/>
      <c r="G23" s="130"/>
      <c r="H23" s="88"/>
      <c r="I23" s="129"/>
      <c r="J23" s="128"/>
      <c r="K23" s="128"/>
    </row>
    <row r="24" spans="2:11" x14ac:dyDescent="0.2">
      <c r="B24" s="129" t="s">
        <v>118</v>
      </c>
      <c r="C24" s="88">
        <f>65961.83-23979.96</f>
        <v>41981.87</v>
      </c>
      <c r="D24" s="88">
        <f>65961.83-23979.96</f>
        <v>41981.87</v>
      </c>
      <c r="E24" s="88"/>
      <c r="F24" s="88"/>
      <c r="G24" s="130"/>
      <c r="H24" s="88"/>
      <c r="I24" s="129"/>
      <c r="J24" s="128"/>
      <c r="K24" s="128"/>
    </row>
    <row r="25" spans="2:11" x14ac:dyDescent="0.2">
      <c r="B25" s="127"/>
      <c r="C25" s="88"/>
      <c r="D25" s="88"/>
      <c r="E25" s="88"/>
      <c r="F25" s="88"/>
      <c r="G25" s="88"/>
      <c r="H25" s="88"/>
      <c r="I25" s="128"/>
      <c r="J25" s="128"/>
      <c r="K25" s="128"/>
    </row>
    <row r="26" spans="2:11" s="111" customFormat="1" x14ac:dyDescent="0.2">
      <c r="B26" s="131" t="s">
        <v>15</v>
      </c>
      <c r="C26" s="132">
        <f>SUM(C22:C24)</f>
        <v>673121.42</v>
      </c>
      <c r="D26" s="132">
        <f>SUM(D22:D24)</f>
        <v>673121.42</v>
      </c>
      <c r="E26" s="132">
        <f>SUM(E22:E23)</f>
        <v>0</v>
      </c>
      <c r="F26" s="133">
        <f>SUM(F22:F25)</f>
        <v>0</v>
      </c>
      <c r="G26" s="133">
        <f>SUM(G22:G25)</f>
        <v>0</v>
      </c>
      <c r="H26" s="133">
        <f>SUM(H22:H25)</f>
        <v>0</v>
      </c>
      <c r="I26" s="131"/>
      <c r="J26" s="131"/>
      <c r="K26" s="131"/>
    </row>
    <row r="27" spans="2:11" x14ac:dyDescent="0.2">
      <c r="B27" s="128"/>
      <c r="C27" s="88"/>
      <c r="D27" s="88"/>
      <c r="E27" s="88"/>
      <c r="F27" s="88"/>
      <c r="G27" s="88"/>
      <c r="H27" s="88"/>
      <c r="I27" s="128"/>
      <c r="J27" s="128"/>
      <c r="K27" s="128"/>
    </row>
    <row r="28" spans="2:11" x14ac:dyDescent="0.2">
      <c r="B28" s="21" t="s">
        <v>115</v>
      </c>
      <c r="C28" s="88"/>
      <c r="D28" s="88"/>
      <c r="E28" s="88"/>
      <c r="F28" s="88"/>
      <c r="G28" s="88"/>
      <c r="H28" s="88"/>
      <c r="I28" s="128"/>
      <c r="J28" s="128"/>
      <c r="K28" s="128"/>
    </row>
    <row r="29" spans="2:11" x14ac:dyDescent="0.2">
      <c r="B29" s="227" t="s">
        <v>116</v>
      </c>
      <c r="C29" s="88">
        <f>1100000-57921.34-296973.19</f>
        <v>745105.47</v>
      </c>
      <c r="D29" s="88">
        <f>1100000-57921.34-296973.19</f>
        <v>745105.47</v>
      </c>
      <c r="E29" s="88"/>
      <c r="F29" s="88"/>
      <c r="G29" s="88"/>
      <c r="H29" s="88"/>
      <c r="I29" s="128"/>
      <c r="J29" s="128"/>
      <c r="K29" s="128"/>
    </row>
    <row r="30" spans="2:11" x14ac:dyDescent="0.2">
      <c r="B30" s="227"/>
      <c r="C30" s="88"/>
      <c r="D30" s="88"/>
      <c r="E30" s="88"/>
      <c r="F30" s="88"/>
      <c r="G30" s="88"/>
      <c r="H30" s="88"/>
      <c r="I30" s="128"/>
      <c r="J30" s="128"/>
      <c r="K30" s="128"/>
    </row>
    <row r="31" spans="2:11" x14ac:dyDescent="0.2">
      <c r="B31" s="227"/>
      <c r="C31" s="88"/>
      <c r="D31" s="88"/>
      <c r="E31" s="88"/>
      <c r="F31" s="88"/>
      <c r="G31" s="88"/>
      <c r="H31" s="88"/>
      <c r="I31" s="128"/>
      <c r="J31" s="128"/>
      <c r="K31" s="128"/>
    </row>
    <row r="32" spans="2:11" s="111" customFormat="1" x14ac:dyDescent="0.2">
      <c r="B32" s="131" t="s">
        <v>15</v>
      </c>
      <c r="C32" s="132">
        <f>SUM(C29:C30)</f>
        <v>745105.47</v>
      </c>
      <c r="D32" s="132">
        <f>SUM(D29:D30)</f>
        <v>745105.47</v>
      </c>
      <c r="E32" s="132">
        <f>SUM(E29:E30)</f>
        <v>0</v>
      </c>
      <c r="F32" s="133">
        <f>SUM(F29:F31)</f>
        <v>0</v>
      </c>
      <c r="G32" s="133">
        <f>SUM(G29:G31)</f>
        <v>0</v>
      </c>
      <c r="H32" s="133">
        <f>SUM(H29:H31)</f>
        <v>0</v>
      </c>
      <c r="I32" s="131"/>
      <c r="J32" s="131"/>
      <c r="K32" s="131"/>
    </row>
    <row r="33" spans="2:11" x14ac:dyDescent="0.2">
      <c r="B33" s="227"/>
      <c r="C33" s="88"/>
      <c r="D33" s="88"/>
      <c r="E33" s="88"/>
      <c r="F33" s="88"/>
      <c r="G33" s="88"/>
      <c r="H33" s="88"/>
      <c r="I33" s="128"/>
      <c r="J33" s="128"/>
      <c r="K33" s="128"/>
    </row>
    <row r="34" spans="2:11" x14ac:dyDescent="0.2">
      <c r="B34" s="227"/>
      <c r="C34" s="88"/>
      <c r="D34" s="88"/>
      <c r="E34" s="88"/>
      <c r="F34" s="88"/>
      <c r="G34" s="88"/>
      <c r="H34" s="88"/>
      <c r="I34" s="128"/>
      <c r="J34" s="128"/>
      <c r="K34" s="128"/>
    </row>
    <row r="35" spans="2:11" x14ac:dyDescent="0.2">
      <c r="B35" s="129"/>
      <c r="C35" s="88"/>
      <c r="D35" s="130"/>
      <c r="E35" s="88"/>
      <c r="F35" s="88"/>
      <c r="G35" s="130"/>
      <c r="H35" s="88"/>
      <c r="I35" s="128"/>
      <c r="J35" s="128"/>
      <c r="K35" s="128"/>
    </row>
    <row r="36" spans="2:11" x14ac:dyDescent="0.2">
      <c r="B36" s="143" t="s">
        <v>51</v>
      </c>
      <c r="C36" s="144"/>
      <c r="D36" s="130"/>
      <c r="E36" s="88"/>
      <c r="F36" s="88"/>
      <c r="G36" s="130"/>
      <c r="H36" s="88"/>
      <c r="I36" s="128"/>
      <c r="J36" s="128"/>
      <c r="K36" s="128"/>
    </row>
    <row r="37" spans="2:11" s="110" customFormat="1" x14ac:dyDescent="0.2">
      <c r="B37" s="143" t="s">
        <v>90</v>
      </c>
      <c r="C37" s="144"/>
      <c r="D37" s="186"/>
      <c r="E37" s="187"/>
      <c r="F37" s="187"/>
      <c r="G37" s="186"/>
      <c r="H37" s="187"/>
      <c r="I37" s="188"/>
      <c r="J37" s="188"/>
      <c r="K37" s="188"/>
    </row>
    <row r="38" spans="2:11" x14ac:dyDescent="0.2">
      <c r="B38" s="129"/>
      <c r="C38" s="88"/>
      <c r="D38" s="130"/>
      <c r="E38" s="88"/>
      <c r="F38" s="88"/>
      <c r="G38" s="130"/>
      <c r="H38" s="88"/>
      <c r="I38" s="128"/>
      <c r="J38" s="128"/>
      <c r="K38" s="128"/>
    </row>
    <row r="39" spans="2:11" x14ac:dyDescent="0.2">
      <c r="B39" s="129"/>
      <c r="C39" s="88"/>
      <c r="D39" s="130"/>
      <c r="E39" s="88"/>
      <c r="F39" s="88"/>
      <c r="G39" s="130"/>
      <c r="H39" s="88"/>
      <c r="I39" s="129"/>
      <c r="J39" s="128"/>
      <c r="K39" s="128"/>
    </row>
    <row r="40" spans="2:11" x14ac:dyDescent="0.2">
      <c r="B40" s="128"/>
      <c r="C40" s="88"/>
      <c r="D40" s="130"/>
      <c r="E40" s="88"/>
      <c r="F40" s="88"/>
      <c r="G40" s="130"/>
      <c r="H40" s="88"/>
      <c r="I40" s="128"/>
      <c r="J40" s="128"/>
      <c r="K40" s="128"/>
    </row>
    <row r="41" spans="2:11" x14ac:dyDescent="0.2">
      <c r="B41" s="129"/>
      <c r="C41" s="134"/>
      <c r="D41" s="135">
        <v>0</v>
      </c>
      <c r="E41" s="134">
        <f>D41-C41</f>
        <v>0</v>
      </c>
      <c r="F41" s="88"/>
      <c r="G41" s="88"/>
      <c r="H41" s="88"/>
      <c r="I41" s="128"/>
      <c r="J41" s="128"/>
      <c r="K41" s="128"/>
    </row>
    <row r="42" spans="2:11" x14ac:dyDescent="0.2">
      <c r="B42" s="129"/>
      <c r="C42" s="134"/>
      <c r="D42" s="135">
        <v>0</v>
      </c>
      <c r="E42" s="134">
        <f>D42-C42</f>
        <v>0</v>
      </c>
      <c r="F42" s="88"/>
      <c r="G42" s="88"/>
      <c r="H42" s="88"/>
      <c r="I42" s="128"/>
      <c r="J42" s="128"/>
      <c r="K42" s="128"/>
    </row>
    <row r="43" spans="2:11" x14ac:dyDescent="0.2">
      <c r="B43" s="129"/>
      <c r="C43" s="134"/>
      <c r="D43" s="135"/>
      <c r="E43" s="134"/>
      <c r="F43" s="88"/>
      <c r="G43" s="88"/>
      <c r="H43" s="88"/>
      <c r="I43" s="128"/>
      <c r="J43" s="128"/>
      <c r="K43" s="128"/>
    </row>
    <row r="44" spans="2:11" x14ac:dyDescent="0.2">
      <c r="B44" s="131"/>
      <c r="C44" s="134">
        <f>SUM(C41:C42)</f>
        <v>0</v>
      </c>
      <c r="D44" s="134">
        <f t="shared" ref="D44:E44" si="0">SUM(D41:D42)</f>
        <v>0</v>
      </c>
      <c r="E44" s="134">
        <f t="shared" si="0"/>
        <v>0</v>
      </c>
      <c r="F44" s="88"/>
      <c r="G44" s="88"/>
      <c r="H44" s="88"/>
      <c r="I44" s="128"/>
      <c r="J44" s="128"/>
      <c r="K44" s="128"/>
    </row>
    <row r="45" spans="2:11" x14ac:dyDescent="0.2">
      <c r="B45" s="131"/>
      <c r="C45" s="133"/>
      <c r="D45" s="133"/>
      <c r="E45" s="133"/>
      <c r="F45" s="133"/>
      <c r="G45" s="133"/>
      <c r="H45" s="133"/>
      <c r="I45" s="131"/>
      <c r="J45" s="131"/>
      <c r="K45" s="131"/>
    </row>
    <row r="46" spans="2:11" x14ac:dyDescent="0.2">
      <c r="B46" s="131"/>
      <c r="C46" s="134"/>
      <c r="D46" s="134"/>
      <c r="E46" s="134"/>
      <c r="F46" s="88"/>
      <c r="G46" s="88"/>
      <c r="H46" s="88"/>
      <c r="I46" s="128"/>
      <c r="J46" s="128"/>
      <c r="K46" s="128"/>
    </row>
    <row r="47" spans="2:11" x14ac:dyDescent="0.2">
      <c r="B47" s="131"/>
      <c r="C47" s="134"/>
      <c r="D47" s="134"/>
      <c r="E47" s="134"/>
      <c r="F47" s="88"/>
      <c r="G47" s="88"/>
      <c r="H47" s="88"/>
      <c r="I47" s="128"/>
      <c r="J47" s="128"/>
      <c r="K47" s="128"/>
    </row>
    <row r="48" spans="2:11" x14ac:dyDescent="0.2">
      <c r="B48" s="131"/>
      <c r="C48" s="134"/>
      <c r="D48" s="134"/>
      <c r="E48" s="134"/>
      <c r="F48" s="88"/>
      <c r="G48" s="88"/>
      <c r="H48" s="88"/>
      <c r="I48" s="128"/>
      <c r="J48" s="128"/>
      <c r="K48" s="128"/>
    </row>
    <row r="49" spans="2:11" s="111" customFormat="1" x14ac:dyDescent="0.2">
      <c r="B49" s="127" t="s">
        <v>26</v>
      </c>
      <c r="C49" s="133">
        <f>C26+C32</f>
        <v>1418226.8900000001</v>
      </c>
      <c r="D49" s="133">
        <f>D26+D32</f>
        <v>1418226.8900000001</v>
      </c>
      <c r="E49" s="133">
        <f>D49-C49</f>
        <v>0</v>
      </c>
      <c r="F49" s="133"/>
      <c r="G49" s="133"/>
      <c r="H49" s="133"/>
      <c r="I49" s="131"/>
      <c r="J49" s="131"/>
      <c r="K49" s="131"/>
    </row>
  </sheetData>
  <mergeCells count="9">
    <mergeCell ref="C18:E18"/>
    <mergeCell ref="F18:H18"/>
    <mergeCell ref="B8:J8"/>
    <mergeCell ref="B9:J9"/>
    <mergeCell ref="B10:J10"/>
    <mergeCell ref="B11:J11"/>
    <mergeCell ref="B12:J12"/>
    <mergeCell ref="C17:E17"/>
    <mergeCell ref="F17:H17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D12" sqref="D12"/>
    </sheetView>
  </sheetViews>
  <sheetFormatPr defaultColWidth="8.85546875" defaultRowHeight="18.75" x14ac:dyDescent="0.3"/>
  <cols>
    <col min="1" max="2" width="8.85546875" style="146"/>
    <col min="3" max="3" width="96.42578125" style="146" customWidth="1"/>
    <col min="4" max="4" width="19.42578125" style="146" customWidth="1"/>
    <col min="5" max="5" width="16.140625" style="146" customWidth="1"/>
    <col min="6" max="6" width="16" style="146" bestFit="1" customWidth="1"/>
    <col min="7" max="7" width="8.85546875" style="146"/>
    <col min="8" max="8" width="17" style="146" customWidth="1"/>
    <col min="9" max="9" width="11.85546875" style="146" customWidth="1"/>
    <col min="10" max="12" width="8.85546875" style="146"/>
    <col min="13" max="13" width="27" style="146" customWidth="1"/>
    <col min="14" max="16384" width="8.85546875" style="146"/>
  </cols>
  <sheetData>
    <row r="1" spans="1:9" x14ac:dyDescent="0.3">
      <c r="A1" s="253" t="s">
        <v>54</v>
      </c>
      <c r="B1" s="253"/>
      <c r="C1" s="253"/>
      <c r="D1" s="253"/>
      <c r="E1" s="253"/>
    </row>
    <row r="2" spans="1:9" ht="39.950000000000003" customHeight="1" x14ac:dyDescent="0.3">
      <c r="A2" s="254" t="s">
        <v>135</v>
      </c>
      <c r="B2" s="254"/>
      <c r="C2" s="254"/>
      <c r="D2" s="254"/>
      <c r="E2" s="254"/>
      <c r="F2" s="147"/>
      <c r="G2" s="147"/>
      <c r="H2" s="147"/>
      <c r="I2" s="147"/>
    </row>
    <row r="3" spans="1:9" x14ac:dyDescent="0.3">
      <c r="A3" s="147"/>
      <c r="B3" s="147"/>
      <c r="C3" s="147"/>
      <c r="D3" s="148"/>
      <c r="E3" s="147"/>
      <c r="F3" s="147"/>
      <c r="G3" s="147"/>
      <c r="H3" s="147"/>
      <c r="I3" s="147"/>
    </row>
    <row r="4" spans="1:9" x14ac:dyDescent="0.3">
      <c r="A4" s="251" t="s">
        <v>55</v>
      </c>
      <c r="B4" s="251"/>
      <c r="C4" s="251"/>
      <c r="D4" s="251"/>
      <c r="E4" s="251"/>
      <c r="F4" s="147"/>
      <c r="G4" s="147"/>
      <c r="H4" s="147"/>
      <c r="I4" s="147"/>
    </row>
    <row r="5" spans="1:9" x14ac:dyDescent="0.3">
      <c r="A5" s="147"/>
      <c r="C5" s="147"/>
      <c r="D5" s="149"/>
    </row>
    <row r="6" spans="1:9" ht="19.5" thickBot="1" x14ac:dyDescent="0.35">
      <c r="A6" s="147">
        <v>1</v>
      </c>
      <c r="C6" s="147" t="s">
        <v>56</v>
      </c>
      <c r="D6" s="160">
        <f>'uses of fund by component'!C68+'uses of fund by component'!C79+'uses of fund by component'!C48</f>
        <v>24220.97</v>
      </c>
    </row>
    <row r="7" spans="1:9" ht="19.5" thickTop="1" x14ac:dyDescent="0.3">
      <c r="C7" s="147"/>
    </row>
    <row r="8" spans="1:9" ht="31.5" x14ac:dyDescent="0.3">
      <c r="A8" s="147">
        <v>2</v>
      </c>
      <c r="C8" s="147" t="s">
        <v>57</v>
      </c>
      <c r="D8" s="150" t="s">
        <v>58</v>
      </c>
      <c r="E8" s="150" t="s">
        <v>59</v>
      </c>
    </row>
    <row r="9" spans="1:9" x14ac:dyDescent="0.3">
      <c r="A9" s="147"/>
      <c r="B9" s="147"/>
      <c r="C9" s="147"/>
      <c r="F9" s="151"/>
    </row>
    <row r="10" spans="1:9" x14ac:dyDescent="0.3">
      <c r="A10" s="147"/>
      <c r="B10" s="147" t="s">
        <v>60</v>
      </c>
      <c r="C10" s="152" t="s">
        <v>61</v>
      </c>
      <c r="D10" s="165">
        <f>'uses of fund by component'!C64-1906.66</f>
        <v>11324.880000000001</v>
      </c>
      <c r="E10" s="165">
        <v>1906.66</v>
      </c>
      <c r="F10" s="151"/>
    </row>
    <row r="11" spans="1:9" x14ac:dyDescent="0.3">
      <c r="A11" s="147"/>
      <c r="B11" s="147"/>
      <c r="C11" s="152"/>
      <c r="D11" s="165"/>
      <c r="E11" s="165"/>
      <c r="F11" s="151"/>
    </row>
    <row r="12" spans="1:9" x14ac:dyDescent="0.3">
      <c r="A12" s="147"/>
      <c r="B12" s="147" t="s">
        <v>62</v>
      </c>
      <c r="C12" s="152" t="s">
        <v>63</v>
      </c>
      <c r="D12" s="165">
        <f>'uses of fund by component'!C65</f>
        <v>2597.75</v>
      </c>
      <c r="E12" s="165">
        <f>'uses of fund by component'!C65</f>
        <v>2597.75</v>
      </c>
      <c r="F12" s="151"/>
    </row>
    <row r="13" spans="1:9" x14ac:dyDescent="0.3">
      <c r="A13" s="147"/>
      <c r="B13" s="147"/>
      <c r="C13" s="152"/>
      <c r="D13" s="158"/>
      <c r="E13" s="158"/>
      <c r="F13" s="151"/>
    </row>
    <row r="14" spans="1:9" ht="19.5" thickBot="1" x14ac:dyDescent="0.35">
      <c r="A14" s="147"/>
      <c r="B14" s="147"/>
      <c r="C14" s="147" t="s">
        <v>64</v>
      </c>
      <c r="D14" s="159">
        <f>D10+D12+E10+E12-2597.75</f>
        <v>15829.29</v>
      </c>
      <c r="E14" s="158"/>
      <c r="F14" s="151"/>
    </row>
    <row r="15" spans="1:9" ht="19.5" thickTop="1" x14ac:dyDescent="0.3">
      <c r="A15" s="147"/>
      <c r="B15" s="147"/>
      <c r="C15" s="147"/>
      <c r="D15" s="158"/>
      <c r="E15" s="158"/>
      <c r="F15" s="151"/>
    </row>
    <row r="16" spans="1:9" ht="19.5" thickBot="1" x14ac:dyDescent="0.35">
      <c r="A16" s="147">
        <v>3</v>
      </c>
      <c r="B16" s="147"/>
      <c r="C16" s="147" t="s">
        <v>65</v>
      </c>
      <c r="D16" s="159">
        <v>0</v>
      </c>
      <c r="E16" s="158"/>
      <c r="F16" s="151"/>
    </row>
    <row r="17" spans="1:9" ht="19.5" thickTop="1" x14ac:dyDescent="0.3">
      <c r="A17" s="147"/>
      <c r="B17" s="147"/>
      <c r="C17" s="147"/>
      <c r="E17" s="153"/>
      <c r="F17" s="151"/>
    </row>
    <row r="18" spans="1:9" x14ac:dyDescent="0.3">
      <c r="A18" s="251" t="s">
        <v>66</v>
      </c>
      <c r="B18" s="251"/>
      <c r="C18" s="251"/>
      <c r="D18" s="251"/>
      <c r="E18" s="251"/>
      <c r="F18" s="151"/>
    </row>
    <row r="19" spans="1:9" ht="19.5" thickBot="1" x14ac:dyDescent="0.35">
      <c r="A19" s="147">
        <v>4</v>
      </c>
      <c r="B19" s="147"/>
      <c r="C19" s="147" t="s">
        <v>67</v>
      </c>
      <c r="D19" s="157">
        <f>'uses of fund by component'!C70</f>
        <v>7954.9699999999984</v>
      </c>
      <c r="E19" s="161"/>
      <c r="F19" s="147"/>
      <c r="G19" s="147"/>
      <c r="H19" s="147"/>
      <c r="I19" s="147"/>
    </row>
    <row r="20" spans="1:9" ht="19.5" thickTop="1" x14ac:dyDescent="0.3">
      <c r="A20" s="147"/>
      <c r="B20" s="147"/>
      <c r="C20" s="147"/>
      <c r="D20" s="164"/>
      <c r="E20" s="161"/>
      <c r="F20" s="147"/>
      <c r="G20" s="147"/>
      <c r="H20" s="147"/>
      <c r="I20" s="147"/>
    </row>
    <row r="21" spans="1:9" ht="19.5" thickBot="1" x14ac:dyDescent="0.35">
      <c r="A21" s="147">
        <v>5</v>
      </c>
      <c r="B21" s="147"/>
      <c r="C21" s="147" t="s">
        <v>68</v>
      </c>
      <c r="D21" s="157">
        <v>0</v>
      </c>
      <c r="E21" s="161"/>
      <c r="F21" s="147"/>
      <c r="G21" s="147"/>
      <c r="H21" s="147"/>
      <c r="I21" s="147"/>
    </row>
    <row r="22" spans="1:9" ht="19.5" thickTop="1" x14ac:dyDescent="0.3">
      <c r="A22" s="147"/>
      <c r="B22" s="147"/>
      <c r="C22" s="147"/>
      <c r="D22" s="164"/>
      <c r="E22" s="161"/>
      <c r="F22" s="147"/>
      <c r="G22" s="147"/>
      <c r="H22" s="147"/>
      <c r="I22" s="147"/>
    </row>
    <row r="23" spans="1:9" ht="19.5" thickBot="1" x14ac:dyDescent="0.35">
      <c r="A23" s="147">
        <v>6</v>
      </c>
      <c r="B23" s="147"/>
      <c r="C23" s="147" t="s">
        <v>69</v>
      </c>
      <c r="D23" s="157">
        <f>'uses of fund by component'!C54+'uses of fund by component'!C55</f>
        <v>9119.27</v>
      </c>
      <c r="E23" s="161"/>
      <c r="F23" s="147"/>
      <c r="G23" s="147"/>
      <c r="H23" s="147"/>
      <c r="I23" s="147"/>
    </row>
    <row r="24" spans="1:9" ht="19.5" thickTop="1" x14ac:dyDescent="0.3">
      <c r="A24" s="147"/>
      <c r="B24" s="147"/>
      <c r="C24" s="147"/>
      <c r="D24" s="163"/>
      <c r="E24" s="161"/>
      <c r="F24" s="147"/>
      <c r="G24" s="147"/>
      <c r="H24" s="147"/>
      <c r="I24" s="147"/>
    </row>
    <row r="25" spans="1:9" ht="19.5" thickBot="1" x14ac:dyDescent="0.35">
      <c r="C25" s="147" t="s">
        <v>70</v>
      </c>
      <c r="D25" s="160">
        <f>D19+D21+D23</f>
        <v>17074.239999999998</v>
      </c>
      <c r="E25" s="161"/>
      <c r="F25" s="147"/>
      <c r="G25" s="147"/>
      <c r="H25" s="147"/>
      <c r="I25" s="147"/>
    </row>
    <row r="26" spans="1:9" ht="19.5" thickTop="1" x14ac:dyDescent="0.3">
      <c r="A26" s="251" t="s">
        <v>71</v>
      </c>
      <c r="B26" s="251"/>
      <c r="C26" s="251"/>
      <c r="D26" s="251"/>
      <c r="E26" s="251"/>
      <c r="F26" s="151"/>
    </row>
    <row r="27" spans="1:9" ht="19.5" thickBot="1" x14ac:dyDescent="0.35">
      <c r="A27" s="147">
        <v>7</v>
      </c>
      <c r="B27" s="147"/>
      <c r="C27" s="147" t="s">
        <v>71</v>
      </c>
      <c r="D27" s="160">
        <f>'uses of fund by component'!C23+'uses of fund by component'!C24+'uses of fund by component'!C25+'uses of fund by component'!C26+'uses of fund by component'!C27+'uses of fund by component'!C47</f>
        <v>217530.88</v>
      </c>
      <c r="E27" s="161"/>
      <c r="F27" s="151"/>
    </row>
    <row r="28" spans="1:9" ht="19.5" thickTop="1" x14ac:dyDescent="0.3">
      <c r="A28" s="147"/>
      <c r="B28" s="147"/>
      <c r="C28" s="147"/>
      <c r="D28" s="162"/>
      <c r="E28" s="161"/>
      <c r="F28" s="151"/>
    </row>
    <row r="29" spans="1:9" x14ac:dyDescent="0.3">
      <c r="A29" s="251" t="s">
        <v>72</v>
      </c>
      <c r="B29" s="251"/>
      <c r="C29" s="251"/>
      <c r="D29" s="251"/>
      <c r="E29" s="251"/>
      <c r="F29" s="151"/>
    </row>
    <row r="30" spans="1:9" ht="19.5" thickBot="1" x14ac:dyDescent="0.35">
      <c r="A30" s="147">
        <v>8</v>
      </c>
      <c r="C30" s="147" t="s">
        <v>73</v>
      </c>
      <c r="D30" s="160">
        <f>'uses of fund by component'!C69</f>
        <v>4983.1499999999996</v>
      </c>
      <c r="E30" s="163"/>
    </row>
    <row r="31" spans="1:9" ht="19.5" thickTop="1" x14ac:dyDescent="0.3">
      <c r="A31" s="147"/>
      <c r="C31" s="147"/>
      <c r="D31" s="164"/>
      <c r="E31" s="163"/>
    </row>
    <row r="32" spans="1:9" x14ac:dyDescent="0.3">
      <c r="A32" s="251" t="s">
        <v>74</v>
      </c>
      <c r="B32" s="251"/>
      <c r="C32" s="251"/>
      <c r="D32" s="251"/>
      <c r="E32" s="251"/>
    </row>
    <row r="33" spans="1:6" ht="19.5" thickBot="1" x14ac:dyDescent="0.35">
      <c r="A33" s="147">
        <v>9</v>
      </c>
      <c r="C33" s="147" t="s">
        <v>75</v>
      </c>
      <c r="D33" s="160">
        <f>'uses of fund by component'!C34+'uses of fund by component'!C33+'uses of fund by component'!C35</f>
        <v>299157.87000000005</v>
      </c>
    </row>
    <row r="34" spans="1:6" ht="19.5" thickTop="1" x14ac:dyDescent="0.3">
      <c r="A34" s="147"/>
      <c r="C34" s="147"/>
    </row>
    <row r="35" spans="1:6" ht="19.7" customHeight="1" x14ac:dyDescent="0.3">
      <c r="A35" s="252" t="s">
        <v>76</v>
      </c>
      <c r="B35" s="252"/>
      <c r="C35" s="252"/>
      <c r="D35" s="252"/>
      <c r="E35" s="252"/>
    </row>
    <row r="36" spans="1:6" ht="19.5" thickBot="1" x14ac:dyDescent="0.35">
      <c r="A36" s="147">
        <v>10</v>
      </c>
      <c r="B36" s="154"/>
      <c r="C36" s="154" t="s">
        <v>77</v>
      </c>
      <c r="D36" s="166">
        <f>'uses of fund by component'!C76+'uses of fund by component'!C77</f>
        <v>3669.03</v>
      </c>
      <c r="E36" s="151"/>
      <c r="F36" s="151"/>
    </row>
    <row r="37" spans="1:6" ht="19.5" thickTop="1" x14ac:dyDescent="0.3">
      <c r="A37" s="147"/>
      <c r="B37" s="154"/>
      <c r="C37" s="154"/>
      <c r="D37" s="155"/>
      <c r="E37" s="151"/>
      <c r="F37" s="151"/>
    </row>
    <row r="38" spans="1:6" x14ac:dyDescent="0.3">
      <c r="A38" s="251" t="s">
        <v>78</v>
      </c>
      <c r="B38" s="251"/>
      <c r="C38" s="251"/>
      <c r="D38" s="251"/>
      <c r="E38" s="251"/>
      <c r="F38" s="151"/>
    </row>
    <row r="39" spans="1:6" ht="19.5" thickBot="1" x14ac:dyDescent="0.35">
      <c r="A39" s="147">
        <v>11</v>
      </c>
      <c r="C39" s="147" t="s">
        <v>79</v>
      </c>
      <c r="D39" s="160">
        <f>'uses of fund by component'!C62+'uses of fund by component'!C63+'uses of fund by component'!C66+'uses of fund by component'!C67</f>
        <v>10753.77</v>
      </c>
    </row>
    <row r="40" spans="1:6" ht="19.5" thickTop="1" x14ac:dyDescent="0.3">
      <c r="A40" s="147"/>
      <c r="C40" s="147"/>
    </row>
    <row r="41" spans="1:6" ht="19.5" thickBot="1" x14ac:dyDescent="0.35">
      <c r="A41" s="147">
        <v>12</v>
      </c>
      <c r="B41" s="147"/>
      <c r="C41" s="147" t="s">
        <v>80</v>
      </c>
      <c r="D41" s="160">
        <f>'uses of fund by component'!C22</f>
        <v>32584.91</v>
      </c>
      <c r="E41" s="147"/>
    </row>
    <row r="42" spans="1:6" ht="19.5" thickTop="1" x14ac:dyDescent="0.3">
      <c r="B42" s="147"/>
      <c r="E42" s="147"/>
      <c r="F42" s="184"/>
    </row>
    <row r="43" spans="1:6" ht="19.5" thickBot="1" x14ac:dyDescent="0.35">
      <c r="B43" s="147"/>
      <c r="C43" s="147" t="s">
        <v>81</v>
      </c>
      <c r="D43" s="160">
        <f>D6+D14+D16+D25+D27+D30+D33+D36+D39+D41</f>
        <v>625804.11000000022</v>
      </c>
      <c r="E43" s="147"/>
      <c r="F43" s="184"/>
    </row>
    <row r="44" spans="1:6" ht="19.5" thickTop="1" x14ac:dyDescent="0.3">
      <c r="F44" s="184"/>
    </row>
    <row r="45" spans="1:6" x14ac:dyDescent="0.3">
      <c r="D45" s="184"/>
      <c r="E45" s="189"/>
    </row>
  </sheetData>
  <mergeCells count="9">
    <mergeCell ref="A32:E32"/>
    <mergeCell ref="A35:E35"/>
    <mergeCell ref="A38:E38"/>
    <mergeCell ref="A1:E1"/>
    <mergeCell ref="A2:E2"/>
    <mergeCell ref="A4:E4"/>
    <mergeCell ref="A18:E18"/>
    <mergeCell ref="A26:E26"/>
    <mergeCell ref="A29:E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I14" sqref="I14"/>
    </sheetView>
  </sheetViews>
  <sheetFormatPr defaultRowHeight="12.75" x14ac:dyDescent="0.2"/>
  <cols>
    <col min="1" max="1" width="22.7109375" customWidth="1"/>
    <col min="2" max="2" width="15.140625" customWidth="1"/>
    <col min="3" max="3" width="11.42578125" customWidth="1"/>
    <col min="4" max="4" width="14.7109375" customWidth="1"/>
    <col min="6" max="6" width="15.140625" customWidth="1"/>
  </cols>
  <sheetData>
    <row r="1" spans="1:6" ht="26.25" x14ac:dyDescent="0.4">
      <c r="A1" s="102" t="s">
        <v>114</v>
      </c>
      <c r="B1" s="102"/>
      <c r="C1" s="102"/>
      <c r="D1" s="102"/>
    </row>
    <row r="2" spans="1:6" x14ac:dyDescent="0.2">
      <c r="A2" s="255" t="s">
        <v>37</v>
      </c>
      <c r="B2" s="255"/>
      <c r="C2" s="255"/>
      <c r="D2" s="255"/>
    </row>
    <row r="3" spans="1:6" ht="15" x14ac:dyDescent="0.2">
      <c r="A3" s="258" t="s">
        <v>38</v>
      </c>
      <c r="B3" s="85" t="s">
        <v>39</v>
      </c>
      <c r="C3" s="260" t="s">
        <v>40</v>
      </c>
      <c r="D3" s="261"/>
      <c r="E3" s="260" t="s">
        <v>41</v>
      </c>
      <c r="F3" s="261"/>
    </row>
    <row r="4" spans="1:6" ht="105" x14ac:dyDescent="0.2">
      <c r="A4" s="259"/>
      <c r="B4" s="85" t="s">
        <v>42</v>
      </c>
      <c r="C4" s="86" t="s">
        <v>43</v>
      </c>
      <c r="D4" s="85" t="s">
        <v>31</v>
      </c>
      <c r="E4" s="86" t="s">
        <v>44</v>
      </c>
      <c r="F4" s="85" t="s">
        <v>45</v>
      </c>
    </row>
    <row r="5" spans="1:6" ht="15" x14ac:dyDescent="0.25">
      <c r="A5" s="87">
        <v>44197</v>
      </c>
      <c r="B5" s="42">
        <v>3811200.43</v>
      </c>
      <c r="C5" s="156">
        <v>5.76</v>
      </c>
      <c r="D5" s="90">
        <f t="shared" ref="D5:D16" si="0">B5/C5</f>
        <v>661666.7413194445</v>
      </c>
      <c r="E5" s="89">
        <v>0.72</v>
      </c>
      <c r="F5" s="47">
        <f t="shared" ref="F5:F16" si="1">D5*E5</f>
        <v>476400.05375000002</v>
      </c>
    </row>
    <row r="6" spans="1:6" ht="15" x14ac:dyDescent="0.25">
      <c r="A6" s="87">
        <v>44228</v>
      </c>
      <c r="B6" s="42">
        <v>3811200.43</v>
      </c>
      <c r="C6" s="156">
        <v>5.73</v>
      </c>
      <c r="D6" s="90">
        <f t="shared" si="0"/>
        <v>665130.96509598603</v>
      </c>
      <c r="E6" s="89">
        <v>0.73</v>
      </c>
      <c r="F6" s="47">
        <f t="shared" si="1"/>
        <v>485545.60452006978</v>
      </c>
    </row>
    <row r="7" spans="1:6" ht="15" x14ac:dyDescent="0.25">
      <c r="A7" s="87">
        <v>44256</v>
      </c>
      <c r="B7" s="42">
        <v>3811200.43</v>
      </c>
      <c r="C7" s="156">
        <v>5.73</v>
      </c>
      <c r="D7" s="90">
        <f t="shared" si="0"/>
        <v>665130.96509598603</v>
      </c>
      <c r="E7" s="89">
        <v>0.73</v>
      </c>
      <c r="F7" s="47">
        <f t="shared" si="1"/>
        <v>485545.60452006978</v>
      </c>
    </row>
    <row r="8" spans="1:6" ht="15" x14ac:dyDescent="0.25">
      <c r="A8" s="87">
        <v>44287</v>
      </c>
      <c r="B8" s="42">
        <v>3811200.43</v>
      </c>
      <c r="C8" s="156">
        <v>5.73</v>
      </c>
      <c r="D8" s="90">
        <f t="shared" si="0"/>
        <v>665130.96509598603</v>
      </c>
      <c r="E8" s="89">
        <v>0.72</v>
      </c>
      <c r="F8" s="47">
        <f t="shared" si="1"/>
        <v>478894.29486910993</v>
      </c>
    </row>
    <row r="9" spans="1:6" ht="15" x14ac:dyDescent="0.25">
      <c r="A9" s="87">
        <v>44317</v>
      </c>
      <c r="B9" s="42">
        <v>3811200.43</v>
      </c>
      <c r="C9" s="156">
        <v>5.74</v>
      </c>
      <c r="D9" s="90">
        <f t="shared" si="0"/>
        <v>663972.20034843206</v>
      </c>
      <c r="E9" s="89">
        <v>0.72</v>
      </c>
      <c r="F9" s="47">
        <f t="shared" si="1"/>
        <v>478059.98425087106</v>
      </c>
    </row>
    <row r="10" spans="1:6" ht="15" x14ac:dyDescent="0.25">
      <c r="A10" s="87">
        <v>44348</v>
      </c>
      <c r="B10" s="42">
        <v>3811200.43</v>
      </c>
      <c r="C10" s="156">
        <v>5.76</v>
      </c>
      <c r="D10" s="90">
        <f t="shared" si="0"/>
        <v>661666.7413194445</v>
      </c>
      <c r="E10" s="89">
        <v>0.74</v>
      </c>
      <c r="F10" s="47">
        <f t="shared" si="1"/>
        <v>489633.38857638894</v>
      </c>
    </row>
    <row r="11" spans="1:6" ht="15" x14ac:dyDescent="0.25">
      <c r="A11" s="87">
        <v>44378</v>
      </c>
      <c r="B11" s="42">
        <v>3811200.43</v>
      </c>
      <c r="C11" s="156">
        <v>5.8</v>
      </c>
      <c r="D11" s="90">
        <f t="shared" si="0"/>
        <v>657103.52241379314</v>
      </c>
      <c r="E11" s="89">
        <v>0.72</v>
      </c>
      <c r="F11" s="47">
        <f t="shared" si="1"/>
        <v>473114.53613793105</v>
      </c>
    </row>
    <row r="12" spans="1:6" ht="15" x14ac:dyDescent="0.25">
      <c r="A12" s="87">
        <v>44409</v>
      </c>
      <c r="B12" s="42">
        <v>3811200.43</v>
      </c>
      <c r="C12" s="156">
        <v>5.85</v>
      </c>
      <c r="D12" s="90">
        <f t="shared" si="0"/>
        <v>651487.25299145305</v>
      </c>
      <c r="E12" s="89">
        <v>0.72</v>
      </c>
      <c r="F12" s="47">
        <f t="shared" si="1"/>
        <v>469070.82215384615</v>
      </c>
    </row>
    <row r="13" spans="1:6" ht="15" x14ac:dyDescent="0.25">
      <c r="A13" s="87">
        <v>44440</v>
      </c>
      <c r="B13" s="42">
        <v>3811200.43</v>
      </c>
      <c r="C13" s="156">
        <v>5.86</v>
      </c>
      <c r="D13" s="90">
        <f t="shared" si="0"/>
        <v>650375.5</v>
      </c>
      <c r="E13" s="89">
        <v>0.72</v>
      </c>
      <c r="F13" s="47">
        <f t="shared" si="1"/>
        <v>468270.36</v>
      </c>
    </row>
    <row r="14" spans="1:6" ht="15" x14ac:dyDescent="0.25">
      <c r="A14" s="87">
        <v>44470</v>
      </c>
      <c r="B14" s="42">
        <v>3811200.43</v>
      </c>
      <c r="C14" s="156">
        <v>5.9</v>
      </c>
      <c r="D14" s="90">
        <f t="shared" si="0"/>
        <v>645966.17457627121</v>
      </c>
      <c r="E14" s="89">
        <v>0.73</v>
      </c>
      <c r="F14" s="47">
        <f t="shared" si="1"/>
        <v>471555.30744067795</v>
      </c>
    </row>
    <row r="15" spans="1:6" ht="15" x14ac:dyDescent="0.25">
      <c r="A15" s="87">
        <v>44501</v>
      </c>
      <c r="B15" s="42">
        <v>3811200.43</v>
      </c>
      <c r="C15" s="156">
        <v>5.91</v>
      </c>
      <c r="D15" s="90">
        <f t="shared" si="0"/>
        <v>644873.16920473776</v>
      </c>
      <c r="E15" s="89">
        <v>0.72</v>
      </c>
      <c r="F15" s="47">
        <f t="shared" si="1"/>
        <v>464308.68182741117</v>
      </c>
    </row>
    <row r="16" spans="1:6" ht="15" x14ac:dyDescent="0.25">
      <c r="A16" s="87">
        <v>44531</v>
      </c>
      <c r="B16" s="42">
        <v>3811200.43</v>
      </c>
      <c r="C16" s="156">
        <v>6</v>
      </c>
      <c r="D16" s="90">
        <f t="shared" si="0"/>
        <v>635200.07166666666</v>
      </c>
      <c r="E16" s="89">
        <v>0.72</v>
      </c>
      <c r="F16" s="47">
        <f t="shared" si="1"/>
        <v>457344.05159999995</v>
      </c>
    </row>
    <row r="17" spans="1:6" ht="15.75" thickBot="1" x14ac:dyDescent="0.3">
      <c r="A17" s="91" t="s">
        <v>36</v>
      </c>
      <c r="B17" s="92">
        <f xml:space="preserve"> SUM(B5:B16)</f>
        <v>45734405.160000004</v>
      </c>
      <c r="C17" s="93"/>
      <c r="D17" s="94">
        <f>SUM(D5:D16)</f>
        <v>7867704.2691282015</v>
      </c>
      <c r="E17" s="95"/>
      <c r="F17" s="96">
        <f>SUM(F5:F16)</f>
        <v>5697742.6896463754</v>
      </c>
    </row>
    <row r="18" spans="1:6" ht="15.75" thickTop="1" x14ac:dyDescent="0.25">
      <c r="A18" s="97" t="s">
        <v>46</v>
      </c>
      <c r="B18" s="98"/>
      <c r="C18" s="98"/>
      <c r="D18" s="98"/>
      <c r="E18" s="99"/>
      <c r="F18" s="100"/>
    </row>
    <row r="19" spans="1:6" ht="15" x14ac:dyDescent="0.25">
      <c r="A19" s="101" t="s">
        <v>47</v>
      </c>
      <c r="B19" s="98"/>
      <c r="C19" s="98"/>
      <c r="D19" s="98"/>
      <c r="E19" s="99"/>
      <c r="F19" s="100"/>
    </row>
    <row r="20" spans="1:6" ht="15" x14ac:dyDescent="0.25">
      <c r="A20" s="97"/>
      <c r="B20" s="98"/>
      <c r="C20" s="98"/>
      <c r="D20" s="98"/>
      <c r="E20" s="99"/>
      <c r="F20" s="100"/>
    </row>
    <row r="21" spans="1:6" ht="13.5" x14ac:dyDescent="0.25">
      <c r="A21" s="262" t="s">
        <v>48</v>
      </c>
      <c r="B21" s="263"/>
      <c r="C21" s="263"/>
      <c r="D21" s="263"/>
    </row>
    <row r="22" spans="1:6" x14ac:dyDescent="0.2">
      <c r="A22" s="255"/>
      <c r="B22" s="255"/>
      <c r="C22" s="255"/>
      <c r="D22" s="255"/>
    </row>
    <row r="23" spans="1:6" x14ac:dyDescent="0.2">
      <c r="A23" s="255"/>
      <c r="B23" s="255"/>
      <c r="C23" s="255"/>
      <c r="D23" s="255"/>
    </row>
    <row r="24" spans="1:6" x14ac:dyDescent="0.2">
      <c r="A24" s="255"/>
      <c r="B24" s="255"/>
      <c r="C24" s="255"/>
      <c r="D24" s="255"/>
    </row>
    <row r="25" spans="1:6" ht="15" x14ac:dyDescent="0.25">
      <c r="A25" s="256"/>
      <c r="B25" s="256"/>
      <c r="C25" s="256"/>
      <c r="D25" s="256"/>
    </row>
    <row r="26" spans="1:6" ht="15" x14ac:dyDescent="0.25">
      <c r="A26" s="257"/>
      <c r="B26" s="257"/>
      <c r="C26" s="257"/>
      <c r="D26" s="257"/>
    </row>
  </sheetData>
  <mergeCells count="10">
    <mergeCell ref="A2:D2"/>
    <mergeCell ref="A3:A4"/>
    <mergeCell ref="C3:D3"/>
    <mergeCell ref="E3:F3"/>
    <mergeCell ref="A21:D21"/>
    <mergeCell ref="A22:D22"/>
    <mergeCell ref="A23:D23"/>
    <mergeCell ref="A24:D24"/>
    <mergeCell ref="A25:D25"/>
    <mergeCell ref="A26:D26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3" sqref="B3"/>
    </sheetView>
  </sheetViews>
  <sheetFormatPr defaultRowHeight="12.75" x14ac:dyDescent="0.2"/>
  <cols>
    <col min="1" max="1" width="39.42578125" customWidth="1"/>
    <col min="2" max="2" width="16.42578125" customWidth="1"/>
    <col min="3" max="3" width="16.140625" bestFit="1" customWidth="1"/>
  </cols>
  <sheetData>
    <row r="1" spans="1:3" ht="35.25" customHeight="1" x14ac:dyDescent="0.2">
      <c r="A1" s="192" t="s">
        <v>92</v>
      </c>
      <c r="B1" s="192" t="s">
        <v>93</v>
      </c>
      <c r="C1" s="192" t="s">
        <v>94</v>
      </c>
    </row>
    <row r="2" spans="1:3" ht="22.5" customHeight="1" x14ac:dyDescent="0.2">
      <c r="A2" s="9" t="s">
        <v>95</v>
      </c>
      <c r="B2" s="193">
        <v>5500000</v>
      </c>
      <c r="C2" s="194">
        <v>1</v>
      </c>
    </row>
    <row r="3" spans="1:3" ht="24" customHeight="1" x14ac:dyDescent="0.2">
      <c r="A3" s="9" t="s">
        <v>96</v>
      </c>
      <c r="B3" s="193">
        <f>'Sources and Uses of Funds'!F29</f>
        <v>3616109.32</v>
      </c>
      <c r="C3" s="195">
        <f>B3/B2</f>
        <v>0.65747442181818183</v>
      </c>
    </row>
    <row r="4" spans="1:3" ht="21.75" customHeight="1" x14ac:dyDescent="0.2">
      <c r="A4" s="9" t="s">
        <v>97</v>
      </c>
      <c r="B4" s="193">
        <f>'Sources and Uses of Funds'!F41</f>
        <v>1552849.1199999999</v>
      </c>
      <c r="C4" s="195">
        <f>B4/B3</f>
        <v>0.42942538031455307</v>
      </c>
    </row>
    <row r="5" spans="1:3" x14ac:dyDescent="0.2">
      <c r="B5" s="90"/>
    </row>
    <row r="6" spans="1:3" x14ac:dyDescent="0.2">
      <c r="B6" s="90"/>
    </row>
    <row r="8" spans="1:3" x14ac:dyDescent="0.2">
      <c r="B8" s="90"/>
      <c r="C8" s="90"/>
    </row>
    <row r="9" spans="1:3" x14ac:dyDescent="0.2">
      <c r="B9" s="90"/>
    </row>
    <row r="11" spans="1:3" x14ac:dyDescent="0.2">
      <c r="B11" s="185"/>
    </row>
    <row r="12" spans="1:3" x14ac:dyDescent="0.2">
      <c r="B12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Sources and Uses of Funds</vt:lpstr>
      <vt:lpstr>uses of fund by component</vt:lpstr>
      <vt:lpstr>Committed Fund by component</vt:lpstr>
      <vt:lpstr>NOTES</vt:lpstr>
      <vt:lpstr>EEP</vt:lpstr>
      <vt:lpstr>DISBURSEMENT </vt:lpstr>
    </vt:vector>
  </TitlesOfParts>
  <Company>TANROADS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THIS PC</cp:lastModifiedBy>
  <cp:lastPrinted>2020-07-28T17:51:43Z</cp:lastPrinted>
  <dcterms:created xsi:type="dcterms:W3CDTF">2007-11-21T06:38:14Z</dcterms:created>
  <dcterms:modified xsi:type="dcterms:W3CDTF">2022-02-14T21:04:37Z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1358434020</vt:i4>
  </property>
  <property fmtid="{D5CDD505-2E9C-101B-9397-08002B2CF9AE}" pid="3" name="_EmailSubject">
    <vt:lpwstr>Proposed Financial  Schedules for the new CTCRP - TANROADS</vt:lpwstr>
  </property>
  <property fmtid="{D5CDD505-2E9C-101B-9397-08002B2CF9AE}" pid="4" name="_AuthorEmail">
    <vt:lpwstr>meritus.njeama@tanroads.org</vt:lpwstr>
  </property>
  <property fmtid="{D5CDD505-2E9C-101B-9397-08002B2CF9AE}" pid="5" name="_AuthorEmailDisplayName">
    <vt:lpwstr>meritus njeama</vt:lpwstr>
  </property>
  <property fmtid="{D5CDD505-2E9C-101B-9397-08002B2CF9AE}" pid="6" name="_ReviewingToolsShownOnce">
    <vt:lpwstr/>
  </property>
</Properties>
</file>